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6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martinshkreli/code/models/"/>
    </mc:Choice>
  </mc:AlternateContent>
  <xr:revisionPtr revIDLastSave="0" documentId="13_ncr:1_{9BDEF4FB-1142-9947-950F-E6A77A65BFA0}" xr6:coauthVersionLast="47" xr6:coauthVersionMax="47" xr10:uidLastSave="{00000000-0000-0000-0000-000000000000}"/>
  <bookViews>
    <workbookView xWindow="-1920" yWindow="-21100" windowWidth="27740" windowHeight="20400" activeTab="1" xr2:uid="{00000000-000D-0000-FFFF-FFFF00000000}"/>
  </bookViews>
  <sheets>
    <sheet name="Main" sheetId="25" r:id="rId1"/>
    <sheet name="Model" sheetId="6" r:id="rId2"/>
    <sheet name="Ozempic" sheetId="31" r:id="rId3"/>
    <sheet name="Wegovy" sheetId="30" r:id="rId4"/>
    <sheet name="Type 2 Diabetes" sheetId="29" r:id="rId5"/>
    <sheet name="Victoza" sheetId="26" r:id="rId6"/>
    <sheet name="NovoLog" sheetId="27" r:id="rId7"/>
    <sheet name="Levemir" sheetId="28" r:id="rId8"/>
    <sheet name="insulin icodec" sheetId="34" r:id="rId9"/>
    <sheet name="NLRP3" sheetId="33" r:id="rId10"/>
    <sheet name="ziltivekimab" sheetId="37" r:id="rId11"/>
    <sheet name="amycretin" sheetId="38" r:id="rId12"/>
    <sheet name="GLP-1-GIP" sheetId="36" r:id="rId13"/>
    <sheet name="cagrilintide" sheetId="35" r:id="rId14"/>
    <sheet name="CDR132L" sheetId="32" r:id="rId15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1">Model!$A$2:$CK$47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O70" i="6" l="1"/>
  <c r="CS46" i="6"/>
  <c r="CS47" i="6"/>
  <c r="CS44" i="6"/>
  <c r="CS43" i="6"/>
  <c r="CS42" i="6"/>
  <c r="CS39" i="6"/>
  <c r="CS38" i="6"/>
  <c r="CS37" i="6"/>
  <c r="CS36" i="6"/>
  <c r="CS35" i="6"/>
  <c r="CS34" i="6"/>
  <c r="CS33" i="6"/>
  <c r="CS32" i="6"/>
  <c r="CR45" i="6"/>
  <c r="CQ45" i="6"/>
  <c r="CP45" i="6"/>
  <c r="CO45" i="6"/>
  <c r="CR43" i="6"/>
  <c r="CQ43" i="6"/>
  <c r="CP43" i="6"/>
  <c r="CO43" i="6"/>
  <c r="CT39" i="6"/>
  <c r="CR39" i="6"/>
  <c r="CQ39" i="6"/>
  <c r="CP39" i="6"/>
  <c r="CT38" i="6"/>
  <c r="CS45" i="6"/>
  <c r="CR38" i="6"/>
  <c r="CQ38" i="6"/>
  <c r="CP38" i="6"/>
  <c r="CO38" i="6"/>
  <c r="BX38" i="6"/>
  <c r="CS49" i="6"/>
  <c r="CR32" i="6"/>
  <c r="CQ32" i="6"/>
  <c r="CP32" i="6"/>
  <c r="CO32" i="6"/>
  <c r="BN80" i="6"/>
  <c r="BN83" i="6"/>
  <c r="BN82" i="6"/>
  <c r="BN81" i="6"/>
  <c r="BO81" i="6"/>
  <c r="BO80" i="6"/>
  <c r="BO83" i="6"/>
  <c r="BO87" i="6"/>
  <c r="BO82" i="6"/>
  <c r="BN87" i="6"/>
  <c r="BN74" i="6"/>
  <c r="BN73" i="6"/>
  <c r="BN71" i="6"/>
  <c r="BN78" i="6"/>
  <c r="BO72" i="6"/>
  <c r="BO73" i="6"/>
  <c r="BO71" i="6"/>
  <c r="BO78" i="6"/>
  <c r="BM78" i="6"/>
  <c r="BL78" i="6"/>
  <c r="BK78" i="6"/>
  <c r="BJ78" i="6"/>
  <c r="BM70" i="6"/>
  <c r="BL70" i="6"/>
  <c r="BK70" i="6"/>
  <c r="BK112" i="6"/>
  <c r="BO112" i="6"/>
  <c r="BK109" i="6"/>
  <c r="BO109" i="6"/>
  <c r="BK102" i="6"/>
  <c r="BK103" i="6"/>
  <c r="BO103" i="6"/>
  <c r="BO102" i="6"/>
  <c r="BK98" i="6"/>
  <c r="BK89" i="6"/>
  <c r="BO98" i="6"/>
  <c r="BO89" i="6"/>
  <c r="BN65" i="6"/>
  <c r="BM65" i="6"/>
  <c r="BL65" i="6"/>
  <c r="BK65" i="6"/>
  <c r="BO58" i="6"/>
  <c r="BO57" i="6"/>
  <c r="BO56" i="6"/>
  <c r="BO55" i="6"/>
  <c r="BO54" i="6"/>
  <c r="BO53" i="6"/>
  <c r="BO52" i="6"/>
  <c r="BO51" i="6"/>
  <c r="BO46" i="6"/>
  <c r="BL32" i="6"/>
  <c r="BM32" i="6"/>
  <c r="BN32" i="6"/>
  <c r="CU31" i="6"/>
  <c r="CV31" i="6"/>
  <c r="CW31" i="6"/>
  <c r="CX31" i="6"/>
  <c r="CY31" i="6"/>
  <c r="CZ31" i="6"/>
  <c r="CT12" i="6"/>
  <c r="CT11" i="6"/>
  <c r="CT10" i="6"/>
  <c r="CT9" i="6"/>
  <c r="CT8" i="6"/>
  <c r="CT7" i="6"/>
  <c r="CT6" i="6"/>
  <c r="CT5" i="6"/>
  <c r="CT4" i="6"/>
  <c r="CT3" i="6"/>
  <c r="CT29" i="6"/>
  <c r="CT28" i="6"/>
  <c r="CT27" i="6"/>
  <c r="CT26" i="6"/>
  <c r="CT25" i="6"/>
  <c r="CT24" i="6"/>
  <c r="CT23" i="6"/>
  <c r="CT22" i="6"/>
  <c r="CT21" i="6"/>
  <c r="CT20" i="6"/>
  <c r="CT19" i="6"/>
  <c r="CT18" i="6"/>
  <c r="CT17" i="6"/>
  <c r="CT16" i="6"/>
  <c r="CT15" i="6"/>
  <c r="CT14" i="6"/>
  <c r="CT30" i="6"/>
  <c r="BO65" i="6"/>
  <c r="BK32" i="6"/>
  <c r="BO45" i="6"/>
  <c r="BO38" i="6"/>
  <c r="BO39" i="6" s="1"/>
  <c r="BO43" i="6" s="1"/>
  <c r="BO32" i="6"/>
  <c r="BO49" i="6"/>
  <c r="BO27" i="6"/>
  <c r="BO12" i="6"/>
  <c r="BO31" i="6" s="1"/>
  <c r="BO10" i="6"/>
  <c r="BN31" i="6"/>
  <c r="BM31" i="6"/>
  <c r="BR31" i="6"/>
  <c r="BQ31" i="6"/>
  <c r="BP31" i="6"/>
  <c r="BN27" i="6"/>
  <c r="BN26" i="6"/>
  <c r="BM27" i="6"/>
  <c r="BM26" i="6"/>
  <c r="BL31" i="6"/>
  <c r="BL26" i="6"/>
  <c r="BL27" i="6"/>
  <c r="AR31" i="6"/>
  <c r="AR27" i="6"/>
  <c r="AR9" i="6"/>
  <c r="AR4" i="6"/>
  <c r="AR6" i="6"/>
  <c r="AS27" i="6"/>
  <c r="AS6" i="6"/>
  <c r="AS4" i="6"/>
  <c r="AS9" i="6"/>
  <c r="AT27" i="6"/>
  <c r="AT10" i="6"/>
  <c r="AT12" i="6" s="1"/>
  <c r="AT31" i="6" s="1"/>
  <c r="AU27" i="6"/>
  <c r="AU10" i="6"/>
  <c r="AU12" i="6" s="1"/>
  <c r="AV27" i="6"/>
  <c r="AV10" i="6"/>
  <c r="AV12" i="6" s="1"/>
  <c r="BA54" i="6"/>
  <c r="BA53" i="6"/>
  <c r="BA52" i="6"/>
  <c r="BA51" i="6"/>
  <c r="BA49" i="6"/>
  <c r="AW27" i="6"/>
  <c r="AW12" i="6"/>
  <c r="AW10" i="6"/>
  <c r="BN53" i="6"/>
  <c r="BL53" i="6"/>
  <c r="BK53" i="6"/>
  <c r="BK51" i="6"/>
  <c r="CS9" i="6"/>
  <c r="CS7" i="6"/>
  <c r="CS5" i="6"/>
  <c r="BM10" i="6"/>
  <c r="CS4" i="6"/>
  <c r="CS30" i="6"/>
  <c r="CR30" i="6"/>
  <c r="CQ30" i="6"/>
  <c r="CP30" i="6"/>
  <c r="CS29" i="6"/>
  <c r="CR29" i="6"/>
  <c r="CQ29" i="6"/>
  <c r="CP29" i="6"/>
  <c r="CS28" i="6"/>
  <c r="CR28" i="6"/>
  <c r="CQ28" i="6"/>
  <c r="CP28" i="6"/>
  <c r="CR25" i="6"/>
  <c r="CQ25" i="6"/>
  <c r="CP25" i="6"/>
  <c r="CR24" i="6"/>
  <c r="CQ24" i="6"/>
  <c r="CP24" i="6"/>
  <c r="CR23" i="6"/>
  <c r="CQ23" i="6"/>
  <c r="CP23" i="6"/>
  <c r="CR21" i="6"/>
  <c r="CQ21" i="6"/>
  <c r="CP21" i="6"/>
  <c r="CR19" i="6"/>
  <c r="CQ19" i="6"/>
  <c r="CP19" i="6"/>
  <c r="CR18" i="6"/>
  <c r="CQ18" i="6"/>
  <c r="CP18" i="6"/>
  <c r="CS17" i="6"/>
  <c r="CR17" i="6"/>
  <c r="CQ17" i="6"/>
  <c r="CP17" i="6"/>
  <c r="CR16" i="6"/>
  <c r="CQ16" i="6"/>
  <c r="CP16" i="6"/>
  <c r="CR15" i="6"/>
  <c r="CQ15" i="6"/>
  <c r="CP15" i="6"/>
  <c r="CR14" i="6"/>
  <c r="CQ14" i="6"/>
  <c r="CP14" i="6"/>
  <c r="CR11" i="6"/>
  <c r="CQ11" i="6"/>
  <c r="CP11" i="6"/>
  <c r="CR9" i="6"/>
  <c r="CQ9" i="6"/>
  <c r="CP9" i="6"/>
  <c r="CR8" i="6"/>
  <c r="CQ8" i="6"/>
  <c r="CP8" i="6"/>
  <c r="CR7" i="6"/>
  <c r="CQ7" i="6"/>
  <c r="CP7" i="6"/>
  <c r="CR6" i="6"/>
  <c r="CQ6" i="6"/>
  <c r="CP6" i="6"/>
  <c r="CR5" i="6"/>
  <c r="CQ5" i="6"/>
  <c r="CP5" i="6"/>
  <c r="CR4" i="6"/>
  <c r="CQ4" i="6"/>
  <c r="CP4" i="6"/>
  <c r="CP3" i="6"/>
  <c r="CQ3" i="6"/>
  <c r="CR3" i="6"/>
  <c r="BK27" i="6"/>
  <c r="BK26" i="6"/>
  <c r="BJ26" i="6"/>
  <c r="BK10" i="6"/>
  <c r="BK12" i="6" s="1"/>
  <c r="BJ51" i="6"/>
  <c r="BJ27" i="6"/>
  <c r="BF12" i="6"/>
  <c r="BJ10" i="6"/>
  <c r="BJ12" i="6" s="1"/>
  <c r="BJ31" i="6" s="1"/>
  <c r="BI85" i="6"/>
  <c r="BI82" i="6"/>
  <c r="BI81" i="6"/>
  <c r="BI80" i="6"/>
  <c r="BI87" i="6" s="1"/>
  <c r="BI71" i="6"/>
  <c r="BI73" i="6"/>
  <c r="BI72" i="6"/>
  <c r="BI42" i="6"/>
  <c r="BI53" i="6"/>
  <c r="BI52" i="6"/>
  <c r="BI51" i="6"/>
  <c r="BI27" i="6"/>
  <c r="CR27" i="6" s="1"/>
  <c r="BI26" i="6"/>
  <c r="BI10" i="6"/>
  <c r="BI12" i="6" s="1"/>
  <c r="AQ31" i="6"/>
  <c r="AP31" i="6"/>
  <c r="AO31" i="6"/>
  <c r="AN31" i="6"/>
  <c r="AM31" i="6"/>
  <c r="AL31" i="6"/>
  <c r="AK31" i="6"/>
  <c r="AJ31" i="6"/>
  <c r="AI31" i="6"/>
  <c r="AH31" i="6"/>
  <c r="AG31" i="6"/>
  <c r="AF31" i="6"/>
  <c r="AE31" i="6"/>
  <c r="AD31" i="6"/>
  <c r="AC31" i="6"/>
  <c r="CL33" i="6"/>
  <c r="CL42" i="6"/>
  <c r="CK42" i="6"/>
  <c r="CJ42" i="6"/>
  <c r="CL38" i="6"/>
  <c r="CK38" i="6"/>
  <c r="CJ38" i="6"/>
  <c r="CJ33" i="6"/>
  <c r="CK33" i="6"/>
  <c r="CO49" i="6"/>
  <c r="CN49" i="6"/>
  <c r="CM49" i="6"/>
  <c r="CL49" i="6"/>
  <c r="CK49" i="6"/>
  <c r="CJ49" i="6"/>
  <c r="CH38" i="6"/>
  <c r="CG38" i="6"/>
  <c r="CH42" i="6"/>
  <c r="CG42" i="6"/>
  <c r="CF42" i="6"/>
  <c r="CO55" i="6"/>
  <c r="CN55" i="6"/>
  <c r="CM55" i="6"/>
  <c r="CG31" i="6"/>
  <c r="CG33" i="6" s="1"/>
  <c r="CH31" i="6"/>
  <c r="CI49" i="6" s="1"/>
  <c r="CD30" i="6"/>
  <c r="CD29" i="6"/>
  <c r="CD28" i="6"/>
  <c r="CD23" i="6"/>
  <c r="CD21" i="6"/>
  <c r="CD17" i="6"/>
  <c r="CD11" i="6"/>
  <c r="CD10" i="6"/>
  <c r="CE14" i="6"/>
  <c r="CF29" i="6"/>
  <c r="CF21" i="6"/>
  <c r="CF17" i="6"/>
  <c r="CF11" i="6"/>
  <c r="CF14" i="6"/>
  <c r="BB53" i="6"/>
  <c r="BB52" i="6"/>
  <c r="BB51" i="6"/>
  <c r="AX38" i="6"/>
  <c r="AX39" i="6" s="1"/>
  <c r="AX43" i="6" s="1"/>
  <c r="AX27" i="6"/>
  <c r="AX10" i="6"/>
  <c r="AX12" i="6" s="1"/>
  <c r="AW31" i="6"/>
  <c r="BB38" i="6"/>
  <c r="BB39" i="6" s="1"/>
  <c r="BB43" i="6" s="1"/>
  <c r="BB45" i="6" s="1"/>
  <c r="BB46" i="6" s="1"/>
  <c r="BA38" i="6"/>
  <c r="BA39" i="6" s="1"/>
  <c r="BA43" i="6" s="1"/>
  <c r="BA45" i="6" s="1"/>
  <c r="BA46" i="6" s="1"/>
  <c r="AZ38" i="6"/>
  <c r="AZ39" i="6" s="1"/>
  <c r="AZ43" i="6" s="1"/>
  <c r="AZ45" i="6" s="1"/>
  <c r="AZ46" i="6" s="1"/>
  <c r="AY38" i="6"/>
  <c r="AY39" i="6" s="1"/>
  <c r="AY43" i="6" s="1"/>
  <c r="AY45" i="6" s="1"/>
  <c r="AY46" i="6" s="1"/>
  <c r="BH38" i="6"/>
  <c r="BG38" i="6"/>
  <c r="BG39" i="6" s="1"/>
  <c r="BG43" i="6" s="1"/>
  <c r="BG45" i="6" s="1"/>
  <c r="BG46" i="6" s="1"/>
  <c r="BF38" i="6"/>
  <c r="BF39" i="6" s="1"/>
  <c r="BF43" i="6" s="1"/>
  <c r="BE38" i="6"/>
  <c r="BE39" i="6" s="1"/>
  <c r="BE43" i="6" s="1"/>
  <c r="BE58" i="6" s="1"/>
  <c r="BD38" i="6"/>
  <c r="BC38" i="6"/>
  <c r="BC39" i="6" s="1"/>
  <c r="BC53" i="6"/>
  <c r="BC52" i="6"/>
  <c r="BC51" i="6"/>
  <c r="BH42" i="6"/>
  <c r="BH27" i="6"/>
  <c r="BH26" i="6"/>
  <c r="BH10" i="6"/>
  <c r="BH12" i="6" s="1"/>
  <c r="BH53" i="6"/>
  <c r="BG53" i="6"/>
  <c r="BF53" i="6"/>
  <c r="BE53" i="6"/>
  <c r="BD53" i="6"/>
  <c r="BG51" i="6"/>
  <c r="BF51" i="6"/>
  <c r="BE51" i="6"/>
  <c r="BD51" i="6"/>
  <c r="BH51" i="6"/>
  <c r="CS25" i="6"/>
  <c r="CS24" i="6"/>
  <c r="BL51" i="6"/>
  <c r="BN51" i="6"/>
  <c r="BH52" i="6"/>
  <c r="AY27" i="6"/>
  <c r="AY26" i="6"/>
  <c r="AY10" i="6"/>
  <c r="AY12" i="6" s="1"/>
  <c r="AZ26" i="6"/>
  <c r="AZ27" i="6"/>
  <c r="AZ10" i="6"/>
  <c r="AZ12" i="6" s="1"/>
  <c r="BA26" i="6"/>
  <c r="BA27" i="6"/>
  <c r="BA10" i="6"/>
  <c r="BA12" i="6" s="1"/>
  <c r="BB26" i="6"/>
  <c r="BB27" i="6"/>
  <c r="BB10" i="6"/>
  <c r="BB12" i="6" s="1"/>
  <c r="BD52" i="6"/>
  <c r="BE52" i="6"/>
  <c r="BF52" i="6"/>
  <c r="BD42" i="6"/>
  <c r="BC10" i="6"/>
  <c r="BC12" i="6" s="1"/>
  <c r="BD27" i="6"/>
  <c r="BD26" i="6"/>
  <c r="BD10" i="6"/>
  <c r="BD12" i="6" s="1"/>
  <c r="BD31" i="6" s="1"/>
  <c r="BD56" i="6" s="1"/>
  <c r="BE27" i="6"/>
  <c r="BE26" i="6"/>
  <c r="BE10" i="6"/>
  <c r="BE12" i="6" s="1"/>
  <c r="BG10" i="6"/>
  <c r="BG12" i="6" s="1"/>
  <c r="BF10" i="6"/>
  <c r="BF27" i="6"/>
  <c r="BF26" i="6"/>
  <c r="CO39" i="6"/>
  <c r="CN38" i="6"/>
  <c r="CN39" i="6" s="1"/>
  <c r="CM38" i="6"/>
  <c r="CM39" i="6" s="1"/>
  <c r="CL2" i="6"/>
  <c r="CM2" i="6" s="1"/>
  <c r="CN2" i="6" s="1"/>
  <c r="CO2" i="6" s="1"/>
  <c r="CP2" i="6" s="1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BG52" i="6"/>
  <c r="BG27" i="6"/>
  <c r="BC27" i="6"/>
  <c r="BC26" i="6"/>
  <c r="BG26" i="6"/>
  <c r="AB38" i="6"/>
  <c r="AB39" i="6" s="1"/>
  <c r="AB43" i="6" s="1"/>
  <c r="BN70" i="6" l="1"/>
  <c r="BJ70" i="6"/>
  <c r="CT31" i="6"/>
  <c r="AR10" i="6"/>
  <c r="AR12" i="6" s="1"/>
  <c r="AS10" i="6"/>
  <c r="AS12" i="6" s="1"/>
  <c r="AS31" i="6" s="1"/>
  <c r="AU31" i="6"/>
  <c r="AV31" i="6"/>
  <c r="CS11" i="6"/>
  <c r="CS23" i="6"/>
  <c r="AX31" i="6"/>
  <c r="AX57" i="6" s="1"/>
  <c r="CD31" i="6"/>
  <c r="CS15" i="6"/>
  <c r="BI78" i="6"/>
  <c r="BK31" i="6"/>
  <c r="CR26" i="6"/>
  <c r="CS18" i="6"/>
  <c r="CP26" i="6"/>
  <c r="CQ12" i="6"/>
  <c r="CQ31" i="6" s="1"/>
  <c r="CQ55" i="6" s="1"/>
  <c r="CP27" i="6"/>
  <c r="CR12" i="6"/>
  <c r="CR31" i="6" s="1"/>
  <c r="CR55" i="6" s="1"/>
  <c r="CL39" i="6"/>
  <c r="CL43" i="6" s="1"/>
  <c r="CL45" i="6" s="1"/>
  <c r="CR10" i="6"/>
  <c r="CQ10" i="6"/>
  <c r="CQ26" i="6"/>
  <c r="CS21" i="6"/>
  <c r="BN10" i="6"/>
  <c r="BN12" i="6" s="1"/>
  <c r="BM12" i="6"/>
  <c r="CS19" i="6"/>
  <c r="CS3" i="6"/>
  <c r="CP10" i="6"/>
  <c r="CP12" i="6" s="1"/>
  <c r="CS26" i="6"/>
  <c r="CG39" i="6"/>
  <c r="CS6" i="6"/>
  <c r="BL10" i="6"/>
  <c r="BL12" i="6" s="1"/>
  <c r="CQ27" i="6"/>
  <c r="BI54" i="6"/>
  <c r="BI70" i="6"/>
  <c r="CS8" i="6"/>
  <c r="CH33" i="6"/>
  <c r="CH39" i="6" s="1"/>
  <c r="CH49" i="6"/>
  <c r="CL55" i="6"/>
  <c r="BB54" i="6"/>
  <c r="AZ58" i="6"/>
  <c r="BA31" i="6"/>
  <c r="BA32" i="6" s="1"/>
  <c r="AX58" i="6"/>
  <c r="AX45" i="6"/>
  <c r="AX46" i="6" s="1"/>
  <c r="BA58" i="6"/>
  <c r="BB58" i="6"/>
  <c r="BD57" i="6"/>
  <c r="AX55" i="6"/>
  <c r="AX56" i="6"/>
  <c r="AY58" i="6"/>
  <c r="BM53" i="6"/>
  <c r="BJ52" i="6"/>
  <c r="BJ53" i="6"/>
  <c r="AZ31" i="6"/>
  <c r="AZ57" i="6" s="1"/>
  <c r="BC43" i="6"/>
  <c r="BC45" i="6" s="1"/>
  <c r="BC46" i="6" s="1"/>
  <c r="AY31" i="6"/>
  <c r="AY57" i="6" s="1"/>
  <c r="BF58" i="6"/>
  <c r="BF45" i="6"/>
  <c r="BF46" i="6" s="1"/>
  <c r="BE45" i="6"/>
  <c r="BE46" i="6" s="1"/>
  <c r="BG58" i="6"/>
  <c r="BG31" i="6"/>
  <c r="BG57" i="6" s="1"/>
  <c r="BE31" i="6"/>
  <c r="BK52" i="6"/>
  <c r="BJ54" i="6"/>
  <c r="BB31" i="6"/>
  <c r="BH54" i="6"/>
  <c r="BF31" i="6"/>
  <c r="BG54" i="6"/>
  <c r="BN52" i="6"/>
  <c r="BC54" i="6"/>
  <c r="BD54" i="6"/>
  <c r="BC31" i="6"/>
  <c r="BC57" i="6" s="1"/>
  <c r="BE54" i="6"/>
  <c r="BF54" i="6"/>
  <c r="BD33" i="6"/>
  <c r="AB44" i="6"/>
  <c r="AB45" i="6" s="1"/>
  <c r="AB46" i="6" s="1"/>
  <c r="AB30" i="6"/>
  <c r="AB28" i="6"/>
  <c r="AB23" i="6"/>
  <c r="AB17" i="6"/>
  <c r="AB21" i="6"/>
  <c r="AB14" i="6"/>
  <c r="AB11" i="6"/>
  <c r="AB8" i="6"/>
  <c r="AB5" i="6"/>
  <c r="AB3" i="6"/>
  <c r="AA10" i="6"/>
  <c r="AA31" i="6" s="1"/>
  <c r="Z10" i="6"/>
  <c r="Y10" i="6"/>
  <c r="X10" i="6"/>
  <c r="W10" i="6"/>
  <c r="V10" i="6"/>
  <c r="U10" i="6"/>
  <c r="T10" i="6"/>
  <c r="S10" i="6"/>
  <c r="R10" i="6"/>
  <c r="Q10" i="6"/>
  <c r="P10" i="6"/>
  <c r="J17" i="6"/>
  <c r="CE17" i="6" s="1"/>
  <c r="O10" i="6"/>
  <c r="O31" i="6" s="1"/>
  <c r="O32" i="6" s="1"/>
  <c r="K10" i="6"/>
  <c r="L8" i="6"/>
  <c r="M8" i="6" s="1"/>
  <c r="N8" i="6" s="1"/>
  <c r="L5" i="6"/>
  <c r="M5" i="6" s="1"/>
  <c r="N5" i="6" s="1"/>
  <c r="L3" i="6"/>
  <c r="N28" i="6"/>
  <c r="CF28" i="6" s="1"/>
  <c r="N23" i="6"/>
  <c r="CF23" i="6" s="1"/>
  <c r="O45" i="6"/>
  <c r="O46" i="6" s="1"/>
  <c r="O42" i="6"/>
  <c r="O38" i="6"/>
  <c r="O39" i="6" s="1"/>
  <c r="L42" i="6"/>
  <c r="M42" i="6"/>
  <c r="N42" i="6" s="1"/>
  <c r="K30" i="6"/>
  <c r="CF30" i="6" s="1"/>
  <c r="N36" i="6"/>
  <c r="N35" i="6"/>
  <c r="K38" i="6"/>
  <c r="K39" i="6" s="1"/>
  <c r="K43" i="6" s="1"/>
  <c r="J29" i="6"/>
  <c r="J28" i="6"/>
  <c r="CE28" i="6" s="1"/>
  <c r="J23" i="6"/>
  <c r="CE23" i="6" s="1"/>
  <c r="J21" i="6"/>
  <c r="CE21" i="6" s="1"/>
  <c r="J11" i="6"/>
  <c r="CE11" i="6" s="1"/>
  <c r="J10" i="6"/>
  <c r="CE10" i="6" s="1"/>
  <c r="CE36" i="6"/>
  <c r="CE35" i="6"/>
  <c r="CE34" i="6"/>
  <c r="J46" i="6"/>
  <c r="J38" i="6"/>
  <c r="J39" i="6" s="1"/>
  <c r="J43" i="6" s="1"/>
  <c r="J44" i="6" s="1"/>
  <c r="J58" i="6" s="1"/>
  <c r="I31" i="6"/>
  <c r="I32" i="6" s="1"/>
  <c r="H31" i="6"/>
  <c r="H55" i="6" s="1"/>
  <c r="G31" i="6"/>
  <c r="G55" i="6" s="1"/>
  <c r="F31" i="6"/>
  <c r="F32" i="6" s="1"/>
  <c r="E31" i="6"/>
  <c r="E55" i="6" s="1"/>
  <c r="D31" i="6"/>
  <c r="D55" i="6" s="1"/>
  <c r="C31" i="6"/>
  <c r="C35" i="6"/>
  <c r="C38" i="6" s="1"/>
  <c r="C39" i="6" s="1"/>
  <c r="C43" i="6" s="1"/>
  <c r="C44" i="6" s="1"/>
  <c r="C58" i="6" s="1"/>
  <c r="C46" i="6"/>
  <c r="E35" i="6"/>
  <c r="E38" i="6" s="1"/>
  <c r="E39" i="6" s="1"/>
  <c r="E43" i="6" s="1"/>
  <c r="E44" i="6" s="1"/>
  <c r="E58" i="6" s="1"/>
  <c r="D35" i="6"/>
  <c r="D38" i="6" s="1"/>
  <c r="D39" i="6" s="1"/>
  <c r="D43" i="6" s="1"/>
  <c r="D44" i="6" s="1"/>
  <c r="D58" i="6" s="1"/>
  <c r="D46" i="6"/>
  <c r="E46" i="6"/>
  <c r="F46" i="6"/>
  <c r="F38" i="6"/>
  <c r="F39" i="6" s="1"/>
  <c r="F43" i="6" s="1"/>
  <c r="F44" i="6" s="1"/>
  <c r="F58" i="6" s="1"/>
  <c r="G46" i="6"/>
  <c r="G38" i="6"/>
  <c r="G39" i="6" s="1"/>
  <c r="G43" i="6" s="1"/>
  <c r="G44" i="6" s="1"/>
  <c r="G58" i="6" s="1"/>
  <c r="H46" i="6"/>
  <c r="H38" i="6"/>
  <c r="H39" i="6" s="1"/>
  <c r="H43" i="6" s="1"/>
  <c r="H44" i="6" s="1"/>
  <c r="H58" i="6" s="1"/>
  <c r="I46" i="6"/>
  <c r="I38" i="6"/>
  <c r="I39" i="6" s="1"/>
  <c r="I43" i="6" s="1"/>
  <c r="I44" i="6" s="1"/>
  <c r="I58" i="6" s="1"/>
  <c r="J4" i="25"/>
  <c r="J7" i="25" s="1"/>
  <c r="BW38" i="6"/>
  <c r="BW42" i="6" s="1"/>
  <c r="BW44" i="6" s="1"/>
  <c r="BV38" i="6"/>
  <c r="BV42" i="6" s="1"/>
  <c r="BV44" i="6" s="1"/>
  <c r="BX42" i="6"/>
  <c r="BX44" i="6" s="1"/>
  <c r="BU33" i="6"/>
  <c r="BU38" i="6" s="1"/>
  <c r="BU42" i="6" s="1"/>
  <c r="BU44" i="6" s="1"/>
  <c r="BY39" i="6"/>
  <c r="BY40" i="6"/>
  <c r="BY41" i="6"/>
  <c r="BZ39" i="6"/>
  <c r="BZ40" i="6"/>
  <c r="BZ41" i="6"/>
  <c r="BV32" i="6"/>
  <c r="BW32" i="6"/>
  <c r="BX32" i="6"/>
  <c r="BT33" i="6"/>
  <c r="BT38" i="6" s="1"/>
  <c r="BT42" i="6" s="1"/>
  <c r="BT44" i="6" s="1"/>
  <c r="BX49" i="6"/>
  <c r="BW49" i="6"/>
  <c r="BV49" i="6"/>
  <c r="BU49" i="6"/>
  <c r="BY49" i="6"/>
  <c r="N34" i="6"/>
  <c r="M38" i="6"/>
  <c r="M39" i="6" s="1"/>
  <c r="N37" i="6"/>
  <c r="L38" i="6"/>
  <c r="L39" i="6" s="1"/>
  <c r="CP31" i="6" l="1"/>
  <c r="CP55" i="6" s="1"/>
  <c r="BA55" i="6"/>
  <c r="CS10" i="6"/>
  <c r="CS12" i="6" s="1"/>
  <c r="BA56" i="6"/>
  <c r="CS27" i="6"/>
  <c r="AX32" i="6"/>
  <c r="BD49" i="6"/>
  <c r="CQ49" i="6"/>
  <c r="BM51" i="6"/>
  <c r="CS16" i="6"/>
  <c r="CP49" i="6"/>
  <c r="BK49" i="6"/>
  <c r="BL52" i="6"/>
  <c r="CS14" i="6"/>
  <c r="BN49" i="6"/>
  <c r="BC58" i="6"/>
  <c r="BA57" i="6"/>
  <c r="CR49" i="6"/>
  <c r="BJ49" i="6"/>
  <c r="CE31" i="6"/>
  <c r="BE56" i="6"/>
  <c r="BE57" i="6"/>
  <c r="BB57" i="6"/>
  <c r="BB49" i="6"/>
  <c r="BF56" i="6"/>
  <c r="BF57" i="6"/>
  <c r="BJ56" i="6"/>
  <c r="BJ57" i="6"/>
  <c r="BB32" i="6"/>
  <c r="BB56" i="6"/>
  <c r="BB55" i="6"/>
  <c r="BG55" i="6"/>
  <c r="BG56" i="6"/>
  <c r="BC32" i="6"/>
  <c r="BC56" i="6"/>
  <c r="AZ32" i="6"/>
  <c r="AZ56" i="6"/>
  <c r="AZ55" i="6"/>
  <c r="AY32" i="6"/>
  <c r="AY56" i="6"/>
  <c r="AY55" i="6"/>
  <c r="BD55" i="6"/>
  <c r="BD39" i="6"/>
  <c r="BD43" i="6" s="1"/>
  <c r="BD58" i="6" s="1"/>
  <c r="BF55" i="6"/>
  <c r="BF32" i="6"/>
  <c r="BE49" i="6"/>
  <c r="BE32" i="6"/>
  <c r="BE55" i="6"/>
  <c r="BH31" i="6"/>
  <c r="BL54" i="6"/>
  <c r="BF49" i="6"/>
  <c r="BM52" i="6"/>
  <c r="BK54" i="6"/>
  <c r="BI31" i="6"/>
  <c r="BN54" i="6"/>
  <c r="BG32" i="6"/>
  <c r="BG49" i="6"/>
  <c r="BC55" i="6"/>
  <c r="BC49" i="6"/>
  <c r="E32" i="6"/>
  <c r="L43" i="6"/>
  <c r="L45" i="6" s="1"/>
  <c r="L46" i="6" s="1"/>
  <c r="L59" i="6" s="1"/>
  <c r="L10" i="6"/>
  <c r="L31" i="6" s="1"/>
  <c r="L55" i="6" s="1"/>
  <c r="G32" i="6"/>
  <c r="BZ42" i="6"/>
  <c r="BZ44" i="6" s="1"/>
  <c r="BZ47" i="6" s="1"/>
  <c r="O43" i="6"/>
  <c r="O44" i="6" s="1"/>
  <c r="AB10" i="6"/>
  <c r="AB31" i="6" s="1"/>
  <c r="AB32" i="6" s="1"/>
  <c r="F55" i="6"/>
  <c r="G59" i="6"/>
  <c r="K31" i="6"/>
  <c r="K49" i="6" s="1"/>
  <c r="J31" i="6"/>
  <c r="J32" i="6" s="1"/>
  <c r="J59" i="6"/>
  <c r="CE38" i="6"/>
  <c r="G49" i="6"/>
  <c r="D32" i="6"/>
  <c r="M43" i="6"/>
  <c r="M45" i="6" s="1"/>
  <c r="H49" i="6"/>
  <c r="N38" i="6"/>
  <c r="I55" i="6"/>
  <c r="I59" i="6"/>
  <c r="I49" i="6"/>
  <c r="M3" i="6"/>
  <c r="BY42" i="6"/>
  <c r="BY44" i="6" s="1"/>
  <c r="H59" i="6"/>
  <c r="C55" i="6"/>
  <c r="C32" i="6"/>
  <c r="BX47" i="6"/>
  <c r="BX45" i="6"/>
  <c r="BT45" i="6"/>
  <c r="BT47" i="6"/>
  <c r="BV47" i="6"/>
  <c r="BV45" i="6"/>
  <c r="BW45" i="6"/>
  <c r="BW47" i="6"/>
  <c r="BU45" i="6"/>
  <c r="BU47" i="6"/>
  <c r="K58" i="6"/>
  <c r="K45" i="6"/>
  <c r="K46" i="6" s="1"/>
  <c r="K59" i="6" s="1"/>
  <c r="H32" i="6"/>
  <c r="CF38" i="6"/>
  <c r="BL49" i="6" l="1"/>
  <c r="BM49" i="6"/>
  <c r="CS31" i="6"/>
  <c r="CS55" i="6" s="1"/>
  <c r="BD45" i="6"/>
  <c r="BD46" i="6" s="1"/>
  <c r="BI57" i="6"/>
  <c r="BI49" i="6"/>
  <c r="BI33" i="6"/>
  <c r="BI55" i="6" s="1"/>
  <c r="BI56" i="6"/>
  <c r="BL57" i="6"/>
  <c r="BH56" i="6"/>
  <c r="BH57" i="6"/>
  <c r="BK56" i="6"/>
  <c r="BK57" i="6"/>
  <c r="BN57" i="6"/>
  <c r="BJ38" i="6"/>
  <c r="BJ39" i="6" s="1"/>
  <c r="BJ43" i="6" s="1"/>
  <c r="BJ58" i="6" s="1"/>
  <c r="BJ55" i="6"/>
  <c r="BJ32" i="6"/>
  <c r="BH33" i="6"/>
  <c r="BH39" i="6" s="1"/>
  <c r="BH43" i="6" s="1"/>
  <c r="BH49" i="6"/>
  <c r="BH55" i="6"/>
  <c r="BM54" i="6"/>
  <c r="L58" i="6"/>
  <c r="L49" i="6"/>
  <c r="L32" i="6"/>
  <c r="CE32" i="6"/>
  <c r="J55" i="6"/>
  <c r="K55" i="6"/>
  <c r="J49" i="6"/>
  <c r="O49" i="6"/>
  <c r="K32" i="6"/>
  <c r="M58" i="6"/>
  <c r="N3" i="6"/>
  <c r="N10" i="6" s="1"/>
  <c r="N31" i="6" s="1"/>
  <c r="M10" i="6"/>
  <c r="CF10" i="6" s="1"/>
  <c r="CF31" i="6" s="1"/>
  <c r="M46" i="6"/>
  <c r="M59" i="6" s="1"/>
  <c r="BY47" i="6"/>
  <c r="BL38" i="6" l="1"/>
  <c r="BL39" i="6" s="1"/>
  <c r="BL43" i="6" s="1"/>
  <c r="BL58" i="6" s="1"/>
  <c r="BN38" i="6"/>
  <c r="BN39" i="6" s="1"/>
  <c r="BN43" i="6" s="1"/>
  <c r="BN58" i="6" s="1"/>
  <c r="BN56" i="6"/>
  <c r="BL56" i="6"/>
  <c r="BK38" i="6"/>
  <c r="BK39" i="6" s="1"/>
  <c r="BK43" i="6" s="1"/>
  <c r="BK58" i="6" s="1"/>
  <c r="CF33" i="6"/>
  <c r="CG49" i="6"/>
  <c r="BI38" i="6"/>
  <c r="BI39" i="6" s="1"/>
  <c r="BI43" i="6" s="1"/>
  <c r="BI58" i="6" s="1"/>
  <c r="BM56" i="6"/>
  <c r="BM57" i="6"/>
  <c r="BN55" i="6"/>
  <c r="BK55" i="6"/>
  <c r="BL55" i="6"/>
  <c r="BM55" i="6"/>
  <c r="BH45" i="6"/>
  <c r="BH46" i="6" s="1"/>
  <c r="BH58" i="6"/>
  <c r="BJ45" i="6"/>
  <c r="BJ46" i="6" s="1"/>
  <c r="CE33" i="6"/>
  <c r="CE55" i="6" s="1"/>
  <c r="M31" i="6"/>
  <c r="N49" i="6"/>
  <c r="N33" i="6"/>
  <c r="CI38" i="6"/>
  <c r="BM38" i="6" l="1"/>
  <c r="BM39" i="6" s="1"/>
  <c r="BM43" i="6" s="1"/>
  <c r="BM58" i="6" s="1"/>
  <c r="CE39" i="6"/>
  <c r="CE43" i="6" s="1"/>
  <c r="CE44" i="6" s="1"/>
  <c r="CE45" i="6" s="1"/>
  <c r="BI45" i="6"/>
  <c r="BI46" i="6" s="1"/>
  <c r="BK45" i="6"/>
  <c r="BK46" i="6" s="1"/>
  <c r="BL45" i="6"/>
  <c r="BL46" i="6" s="1"/>
  <c r="BN45" i="6"/>
  <c r="BN46" i="6" s="1"/>
  <c r="M49" i="6"/>
  <c r="M55" i="6"/>
  <c r="M32" i="6"/>
  <c r="N32" i="6"/>
  <c r="N39" i="6"/>
  <c r="N43" i="6" s="1"/>
  <c r="N55" i="6"/>
  <c r="CF49" i="6"/>
  <c r="BM45" i="6" l="1"/>
  <c r="BM46" i="6" s="1"/>
  <c r="CF39" i="6"/>
  <c r="CF43" i="6" s="1"/>
  <c r="N44" i="6"/>
  <c r="N45" i="6" s="1"/>
  <c r="CF55" i="6" l="1"/>
  <c r="CG55" i="6"/>
  <c r="N46" i="6"/>
  <c r="N59" i="6" s="1"/>
  <c r="CF45" i="6"/>
  <c r="CF46" i="6" s="1"/>
  <c r="N58" i="6"/>
  <c r="CH55" i="6" l="1"/>
  <c r="CG43" i="6"/>
  <c r="CG45" i="6" l="1"/>
  <c r="CG46" i="6" s="1"/>
  <c r="CI55" i="6"/>
  <c r="CI39" i="6"/>
  <c r="CJ55" i="6" l="1"/>
  <c r="CJ39" i="6"/>
  <c r="CJ43" i="6" s="1"/>
  <c r="CH43" i="6"/>
  <c r="CH45" i="6" s="1"/>
  <c r="CH46" i="6" s="1"/>
  <c r="CI43" i="6" l="1"/>
  <c r="CI45" i="6" s="1"/>
  <c r="CK39" i="6"/>
  <c r="CK43" i="6" s="1"/>
  <c r="CK55" i="6"/>
  <c r="CJ45" i="6" l="1"/>
  <c r="CK45" i="6" s="1"/>
  <c r="CT45" i="6" l="1"/>
  <c r="CU45" i="6" s="1"/>
  <c r="CV45" i="6" s="1"/>
  <c r="CW45" i="6" s="1"/>
  <c r="CX45" i="6" s="1"/>
  <c r="CY45" i="6" s="1"/>
  <c r="CZ45" i="6" s="1"/>
  <c r="DA45" i="6" s="1"/>
  <c r="DB45" i="6" s="1"/>
  <c r="DC45" i="6" s="1"/>
  <c r="DD45" i="6" s="1"/>
  <c r="DE45" i="6" s="1"/>
  <c r="DF45" i="6" s="1"/>
  <c r="DG45" i="6" s="1"/>
  <c r="DH45" i="6" s="1"/>
  <c r="DI45" i="6" s="1"/>
  <c r="DJ45" i="6" s="1"/>
  <c r="DK45" i="6" s="1"/>
  <c r="DL45" i="6" s="1"/>
  <c r="DM45" i="6" s="1"/>
  <c r="DN45" i="6" s="1"/>
  <c r="DO45" i="6" s="1"/>
  <c r="DP45" i="6" s="1"/>
  <c r="DQ45" i="6" s="1"/>
  <c r="DR45" i="6" s="1"/>
  <c r="DS45" i="6" s="1"/>
  <c r="DT45" i="6" s="1"/>
  <c r="DU45" i="6" s="1"/>
  <c r="DV45" i="6" s="1"/>
  <c r="DW45" i="6" s="1"/>
  <c r="DX45" i="6" s="1"/>
  <c r="DY45" i="6" s="1"/>
  <c r="DZ45" i="6" s="1"/>
  <c r="EA45" i="6" s="1"/>
  <c r="EB45" i="6" s="1"/>
  <c r="EC45" i="6" s="1"/>
  <c r="ED45" i="6" s="1"/>
  <c r="EE45" i="6" s="1"/>
  <c r="EF45" i="6" s="1"/>
  <c r="EG45" i="6" s="1"/>
  <c r="EH45" i="6" s="1"/>
  <c r="EI45" i="6" s="1"/>
  <c r="EJ45" i="6" s="1"/>
  <c r="EK45" i="6" s="1"/>
  <c r="DC51" i="6" l="1"/>
  <c r="DC52" i="6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Alistair Campbell</author>
    <author>tc={FF59098B-CDEA-4E95-99E9-B148257A5966}</author>
    <author>tc={F285E42B-D31A-1C40-9368-C00A07A2D562}</author>
  </authors>
  <commentList>
    <comment ref="BV40" authorId="0" shapeId="0" xr:uid="{00000000-0006-0000-0100-000001000000}">
      <text>
        <r>
          <rPr>
            <b/>
            <sz val="8"/>
            <color indexed="81"/>
            <rFont val="Tahoma"/>
            <family val="2"/>
          </rPr>
          <t>Alistair Campbell: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BW40" authorId="0" shapeId="0" xr:uid="{00000000-0006-0000-0100-000002000000}">
      <text>
        <r>
          <rPr>
            <b/>
            <sz val="8"/>
            <color indexed="81"/>
            <rFont val="Tahoma"/>
            <family val="2"/>
          </rPr>
          <t>Alistair Campbell: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BX40" authorId="0" shapeId="0" xr:uid="{00000000-0006-0000-0100-000003000000}">
      <text>
        <r>
          <rPr>
            <b/>
            <sz val="8"/>
            <color indexed="81"/>
            <rFont val="Tahoma"/>
            <family val="2"/>
          </rPr>
          <t>Alistair Campbell: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BK49" authorId="1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T50" authorId="2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Q124 guidance of 19-27% CER,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<sst xmlns="http://schemas.openxmlformats.org/spreadsheetml/2006/main" count="491" uniqueCount="361">
  <si>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</si>
  <si>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</si>
  <si>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</si>
  <si>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</si>
  <si>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</si>
  <si>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</si>
  <si>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</si>
  <si>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</si>
  <si>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</si>
  <si>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</si>
  <si>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</si>
  <si>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</si>
  <si>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</si>
  <si>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</si>
  <si>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</si>
  <si>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</si>
  <si>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</si>
  <si>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</si>
  <si>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</si>
  <si>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</si>
  <si>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</si>
  <si>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</si>
  <si>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</si>
  <si>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</si>
  <si>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</si>
  <si>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</si>
  <si>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Tresiba (insulin degludec)</t>
  </si>
  <si>
    <t>NovoSeven</t>
  </si>
  <si>
    <t>Hemophilia</t>
  </si>
  <si>
    <t>Factor ?</t>
  </si>
  <si>
    <t>Phase</t>
  </si>
  <si>
    <t>Xultophy (degludec+liraglutide)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</si>
  <si>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</si>
  <si>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</si>
  <si>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</si>
  <si>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</si>
  <si>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</si>
  <si>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</si>
  <si>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</si>
  <si>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</si>
  <si>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</si>
  <si>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</si>
  <si>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</si>
  <si>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</si>
  <si>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</si>
  <si>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</si>
  <si>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</si>
  <si>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</si>
  <si>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</si>
  <si>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</si>
  <si>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</si>
  <si>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</si>
  <si>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</si>
  <si>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</si>
  <si>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</si>
  <si>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</si>
  <si>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</si>
  <si>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</si>
  <si>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</si>
  <si>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</si>
  <si>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</si>
  <si>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</si>
  <si>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</si>
  <si>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</si>
  <si>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</si>
  <si>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</si>
  <si>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</si>
  <si>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</si>
  <si>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</si>
  <si>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</si>
  <si>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</si>
  <si>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</si>
  <si>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</si>
  <si>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</si>
  <si>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</si>
  <si>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</si>
  <si>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</si>
  <si>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</si>
  <si>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</si>
  <si>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</si>
  <si>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</si>
  <si>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</si>
  <si>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</si>
  <si>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</si>
  <si>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</si>
  <si>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</si>
  <si>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</si>
  <si>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</si>
  <si>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</si>
  <si>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</si>
  <si>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</si>
  <si>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</si>
  <si>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</si>
  <si>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</si>
  <si>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</si>
  <si>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</si>
  <si>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</si>
  <si>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</si>
  <si>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</si>
  <si>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</si>
  <si>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</si>
  <si>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</si>
  <si>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</si>
  <si>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</si>
  <si>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</si>
  <si>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</si>
  <si>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</si>
  <si>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</si>
  <si>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</si>
  <si>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</si>
  <si>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</si>
  <si>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</si>
  <si>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</si>
  <si>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</si>
  <si>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</si>
  <si>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</si>
  <si>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</si>
  <si>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</si>
  <si>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</si>
  <si>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</si>
  <si>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</si>
  <si>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</si>
  <si>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</si>
  <si>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</si>
  <si>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</si>
  <si>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</si>
  <si>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</si>
  <si>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</si>
  <si>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</si>
  <si>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</si>
  <si>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</si>
  <si>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</si>
  <si>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</si>
  <si>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</si>
  <si>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</si>
  <si>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</si>
  <si>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</si>
  <si>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</si>
  <si>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</si>
  <si>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</si>
  <si>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</si>
  <si>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</si>
  <si>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</si>
  <si>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</si>
  <si>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</si>
  <si>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</si>
  <si>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</si>
  <si>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</si>
  <si>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</si>
  <si>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</si>
  <si>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</si>
  <si>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EPS Y/Y</t>
  </si>
  <si>
    <t>NA C/C</t>
  </si>
  <si>
    <t>NA</t>
  </si>
  <si>
    <t>EU</t>
  </si>
  <si>
    <t>Intl</t>
  </si>
  <si>
    <t>Japan/Korea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</si>
  <si>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</si>
  <si>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</si>
  <si>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</si>
  <si>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</si>
  <si>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</si>
  <si>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</si>
  <si>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</si>
  <si>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</si>
  <si>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</si>
  <si>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</si>
  <si>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</si>
  <si>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</si>
  <si>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</si>
  <si>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</si>
  <si>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</si>
  <si>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</si>
  <si>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</si>
  <si>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</si>
  <si>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</si>
  <si>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</si>
  <si>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</si>
  <si>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</si>
  <si>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</si>
  <si>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</si>
  <si>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</si>
  <si>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</si>
  <si>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</si>
  <si>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</si>
  <si>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</si>
  <si>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</si>
  <si>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</si>
  <si>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</si>
  <si>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</si>
  <si>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</si>
  <si>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</si>
  <si>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</si>
  <si>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</si>
  <si>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</si>
  <si>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</si>
  <si>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Saxenda y/y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</si>
  <si>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</si>
  <si>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</si>
  <si>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</si>
  <si>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</si>
  <si>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</si>
  <si>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</si>
  <si>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</si>
  <si>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</si>
  <si>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</si>
  <si>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</si>
  <si>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</si>
  <si>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</si>
  <si>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</si>
  <si>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</si>
  <si>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</si>
  <si>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</si>
  <si>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</si>
  <si>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</si>
  <si>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</si>
  <si>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</si>
  <si>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</si>
  <si>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</si>
  <si>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</si>
  <si>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12/28/21: Dicerna closes</t>
  </si>
  <si>
    <t>10/14/22: Forma closes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</si>
  <si>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</si>
  <si>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</si>
  <si>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</si>
  <si>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</si>
  <si>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</si>
  <si>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</si>
  <si>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</si>
  <si>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</si>
  <si>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</si>
  <si>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</si>
  <si>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</si>
  <si>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</si>
  <si>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</si>
  <si>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</si>
  <si>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</si>
  <si>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</si>
  <si>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</si>
  <si>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</si>
  <si>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</si>
  <si>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</si>
  <si>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</si>
  <si>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8579869 needle mounting expires 2023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</si>
  <si>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</si>
  <si>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</si>
  <si>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</si>
  <si>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</si>
  <si>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</si>
  <si>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</si>
  <si>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</si>
  <si>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</si>
  <si>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</si>
  <si>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</si>
  <si>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</si>
  <si>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</si>
  <si>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</si>
  <si>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</si>
  <si>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</si>
  <si>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Refixia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</si>
  <si>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</si>
  <si>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</si>
  <si>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</si>
  <si>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</si>
  <si>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</si>
  <si>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</si>
  <si>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</si>
  <si>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</si>
  <si>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</si>
  <si>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</si>
  <si>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</si>
  <si>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</si>
  <si>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NRLP3</t>
  </si>
  <si>
    <t>Kalundborg, Hillerod - Denmark</t>
  </si>
  <si>
    <t>Chartres - France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</si>
  <si>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</si>
  <si>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</si>
  <si>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</si>
  <si>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</si>
  <si>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</si>
  <si>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</si>
  <si>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</si>
  <si>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</si>
  <si>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</si>
  <si>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</si>
  <si>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</si>
  <si>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</si>
  <si>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</si>
  <si>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</si>
  <si>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Approved in Switzerland and Canada. Recommended for approval in EU, rejected in US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</si>
  <si>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</si>
  <si>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</si>
  <si>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</si>
  <si>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</si>
  <si>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</si>
  <si>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Filed in 3/24 with FDA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</si>
  <si>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</si>
  <si>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</si>
  <si>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</si>
  <si>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</si>
  <si>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</si>
  <si>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</si>
  <si>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</si>
  <si>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</si>
  <si>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</si>
  <si>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</si>
  <si>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</si>
  <si>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reduced MACE by 20%</t>
  </si>
  <si>
    <t>Phase III "SELECT" CVOT</t>
  </si>
  <si>
    <t>submitted results 1/24 in EU+US</t>
  </si>
  <si>
    <t>Phase III "STEP" HFpEF 2.4mg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</si>
  <si>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</si>
  <si>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</si>
  <si>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</si>
  <si>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</si>
  <si>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</si>
  <si>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</si>
  <si>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</si>
  <si>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</si>
  <si>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</si>
  <si>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</si>
  <si>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</si>
  <si>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</si>
  <si>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</si>
  <si>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</si>
  <si>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</si>
  <si>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</si>
  <si>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</si>
  <si>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</si>
  <si>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</si>
  <si>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Butybacks</t>
  </si>
  <si>
    <t>FX</t>
  </si>
  <si>
    <t>CIC</t>
  </si>
  <si>
    <t>concizumab</t>
  </si>
  <si>
    <t>Awiqli, IcoSema, fka NN1436</t>
  </si>
  <si>
    <t>Phase III "SOUL"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</si>
  <si>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</si>
  <si>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</si>
  <si>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</si>
  <si>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</si>
  <si>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</si>
  <si>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</si>
  <si>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</si>
  <si>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filed in EU, US, China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</si>
  <si>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</si>
  <si>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</si>
  <si>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</si>
  <si>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</si>
  <si>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</si>
  <si>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Phase I oral - complete</t>
  </si>
  <si>
    <t>oral and ?</t>
  </si>
  <si>
    <t>Sogroya (somapacitan)</t>
  </si>
  <si>
    <t>US, EU, JP</t>
  </si>
  <si>
    <t>ocedurenone</t>
  </si>
  <si>
    <t>Hypertension</t>
  </si>
  <si>
    <t>ANGPTL3i mab</t>
  </si>
  <si>
    <t>VAP-1i</t>
  </si>
  <si>
    <t>HF + PD</t>
  </si>
  <si>
    <t>cell therapy</t>
  </si>
  <si>
    <t>SC qd</t>
  </si>
  <si>
    <t>SC qw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</si>
</sst>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3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  <numFmt numFmtId="176" formatCode="0_);\(0\)"/>
  </numFmts>
  <fonts count="19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0"/>
      <color rgb="FF000000"/>
      <name val="Tahoma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69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0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176" fontId="1" fillId="0" borderId="0" xfId="3" applyNumberFormat="1" applyFont="1" applyBorder="1" applyAlignment="1"/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3" fontId="1" fillId="6" borderId="0" xfId="3" applyNumberFormat="1" applyFont="1" applyFill="1" applyBorder="1" applyAlignment="1">
      <alignment horizontal="right"/>
    </xf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28706</xdr:colOff>
      <xdr:row>0</xdr:row>
      <xdr:rowOff>0</xdr:rowOff>
    </xdr:from>
    <xdr:to>
      <xdr:col>67</xdr:col>
      <xdr:colOff>28706</xdr:colOff>
      <xdr:row>121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6333189" y="0"/>
          <a:ext cx="0" cy="20197379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97</xdr:col>
      <xdr:colOff>39118</xdr:colOff>
      <xdr:row>0</xdr:row>
      <xdr:rowOff>0</xdr:rowOff>
    </xdr:from>
    <xdr:to>
      <xdr:col>97</xdr:col>
      <xdr:colOff>39118</xdr:colOff>
      <xdr:row>67</xdr:row>
      <xdr:rowOff>107497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 rot="5400000">
          <a:off x="47803059" y="5628611"/>
          <a:ext cx="11257221" cy="0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245327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24</xdr:row>
      <xdr:rowOff>142490</xdr:rowOff>
    </xdr:from>
    <xdr:to>
      <xdr:col>13</xdr:col>
      <xdr:colOff>511716</xdr:colOff>
      <xdr:row>39</xdr:row>
      <xdr:rowOff>112115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29</xdr:row>
      <xdr:rowOff>68147</xdr:rowOff>
    </xdr:from>
    <xdr:to>
      <xdr:col>6</xdr:col>
      <xdr:colOff>412595</xdr:colOff>
      <xdr:row>41</xdr:row>
      <xdr:rowOff>32699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41</xdr:row>
      <xdr:rowOff>0</xdr:rowOff>
    </xdr:from>
    <xdr:to>
      <xdr:col>13</xdr:col>
      <xdr:colOff>40888</xdr:colOff>
      <xdr:row>53</xdr:row>
      <xdr:rowOff>88588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18</xdr:row>
      <xdr:rowOff>0</xdr:rowOff>
    </xdr:from>
    <xdr:to>
      <xdr:col>15</xdr:col>
      <xdr:colOff>304800</xdr:colOff>
      <xdr:row>41</xdr:row>
      <xdr:rowOff>73635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21200" y="2540000"/>
          <a:ext cx="7772400" cy="3968302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508000</xdr:colOff>
      <xdr:row>12</xdr:row>
      <xdr:rowOff>143933</xdr:rowOff>
    </xdr:from>
    <xdr:to>
      <xdr:col>10</xdr:col>
      <xdr:colOff>812800</xdr:colOff>
      <xdr:row>37</xdr:row>
      <xdr:rowOff>60844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0533" y="1667933"/>
          <a:ext cx="7772400" cy="415024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rtin Shkreli" id="{1928DA2E-AA96-44E0-A017-EBF35EB40633}" userId="9ffda80931a57275" providerId="Windows Live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49" dT="2023-05-16T03:34:34.88" personId="{1928DA2E-AA96-44E0-A017-EBF35EB40633}" id="{FF59098B-CDEA-4E95-99E9-B148257A5966}">
    <text>25% CER</text>
  </threadedComment>
  <threadedComment ref="CT50" dT="2024-07-11T18:53:37.33" personId="{1928DA2E-AA96-44E0-A017-EBF35EB40633}" id="{F285E42B-D31A-1C40-9368-C00A07A2D562}">
    <text>Q124 guidance of 19-27% CER,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K55"/>
  <sheetViews>
    <sheetView zoomScale="145" zoomScaleNormal="145" workbookViewId="0">
      <selection activeCell="O16" sqref="O16"/>
    </sheetView>
  </sheetViews>
  <sheetFormatPr baseColWidth="10" defaultColWidth="9.1640625" defaultRowHeight="13"/>
  <cols>
    <col min="1" max="1" width="3.33203125" style="24" customWidth="1"/>
    <col min="2" max="2" width="37.5" style="24" customWidth="1"/>
    <col min="3" max="3" width="25.5" style="26" customWidth="1"/>
    <col min="4" max="4" width="14.6640625" style="26" customWidth="1"/>
    <col min="5" max="5" width="11.1640625" style="24" customWidth="1"/>
    <col min="6" max="6" width="9.1640625" style="24"/>
    <col min="7" max="7" width="9.6640625" style="24" customWidth="1"/>
    <col min="8" max="8" width="7.33203125" style="24" customWidth="1"/>
    <col min="9" max="9" width="11.33203125" style="24" customWidth="1"/>
    <col min="10" max="10" width="10" style="24" customWidth="1"/>
    <col min="11" max="11" width="7.6640625" style="24" customWidth="1"/>
    <col min="12" max="16384" width="9.1640625" style="24"/>
  </cols>
  <sheetData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1162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4471</v>
      </c>
      <c r="K3" s="29" t="s">
        <v>248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5195302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12315</v>
      </c>
      <c r="K5" s="29" t="s">
        <v>248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359</v>
      </c>
      <c r="G6" s="27">
        <v>1</v>
      </c>
      <c r="I6" s="24" t="s">
        <v>19</v>
      </c>
      <c r="J6" s="28">
        <v>29038</v>
      </c>
      <c r="K6" s="29" t="s">
        <v>248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5212025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26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223</v>
      </c>
      <c r="C10" s="26" t="s">
        <v>230</v>
      </c>
      <c r="D10" s="26" t="s">
        <v>18</v>
      </c>
      <c r="E10" s="20">
        <v>44371</v>
      </c>
      <c r="F10" s="26" t="s">
        <v>360</v>
      </c>
      <c r="G10" s="27">
        <v>1</v>
      </c>
      <c r="I10" s="24" t="s">
        <v>276</v>
      </c>
      <c r="J10" s="25"/>
    </row>
    <row r="11" spans="2:11">
      <c r="B11" s="3" t="s">
        <v>234</v>
      </c>
      <c r="C11" s="26" t="s">
        <v>8</v>
      </c>
      <c r="D11" s="26" t="s">
        <v>18</v>
      </c>
      <c r="E11" s="20">
        <v>43074</v>
      </c>
      <c r="F11" s="26" t="s">
        <v>360</v>
      </c>
      <c r="G11" s="27">
        <v>1</v>
      </c>
      <c r="I11" s="24" t="s">
        <v>262</v>
      </c>
      <c r="J11" s="25"/>
    </row>
    <row r="12" spans="2:11">
      <c r="B12" s="19" t="s">
        <v>237</v>
      </c>
      <c r="C12" s="26" t="s">
        <v>8</v>
      </c>
      <c r="D12" s="26" t="s">
        <v>18</v>
      </c>
      <c r="E12" s="20"/>
      <c r="F12" s="26" t="s">
        <v>235</v>
      </c>
      <c r="G12" s="27">
        <v>1</v>
      </c>
      <c r="I12" s="24" t="s">
        <v>275</v>
      </c>
      <c r="J12" s="25"/>
    </row>
    <row r="13" spans="2:11">
      <c r="B13" s="19" t="s">
        <v>252</v>
      </c>
      <c r="E13" s="20"/>
      <c r="F13" s="26"/>
      <c r="G13" s="27"/>
      <c r="J13" s="25"/>
    </row>
    <row r="14" spans="2:11">
      <c r="B14" s="19" t="s">
        <v>253</v>
      </c>
      <c r="E14" s="20"/>
      <c r="F14" s="26"/>
      <c r="G14" s="27"/>
      <c r="J14" s="25"/>
    </row>
    <row r="15" spans="2:11">
      <c r="B15" s="19" t="s">
        <v>247</v>
      </c>
      <c r="C15" s="26" t="s">
        <v>8</v>
      </c>
      <c r="D15" s="26" t="s">
        <v>18</v>
      </c>
      <c r="E15" s="20"/>
      <c r="F15" s="26" t="s">
        <v>359</v>
      </c>
      <c r="G15" s="27">
        <v>1</v>
      </c>
      <c r="J15" s="25"/>
    </row>
    <row r="16" spans="2:11">
      <c r="B16" s="19" t="s">
        <v>31</v>
      </c>
      <c r="C16" s="26" t="s">
        <v>8</v>
      </c>
      <c r="D16" s="26" t="s">
        <v>32</v>
      </c>
      <c r="E16" s="26" t="s">
        <v>33</v>
      </c>
      <c r="F16" s="26"/>
      <c r="G16" s="30"/>
      <c r="I16" s="24" t="s">
        <v>273</v>
      </c>
    </row>
    <row r="17" spans="2:10">
      <c r="B17" s="19" t="s">
        <v>254</v>
      </c>
      <c r="E17" s="26"/>
      <c r="F17" s="26"/>
      <c r="G17" s="30"/>
      <c r="I17" s="24" t="s">
        <v>274</v>
      </c>
    </row>
    <row r="18" spans="2:10">
      <c r="B18" s="19" t="s">
        <v>255</v>
      </c>
      <c r="E18" s="26"/>
      <c r="F18" s="26"/>
      <c r="G18" s="30"/>
    </row>
    <row r="19" spans="2:10">
      <c r="B19" s="19" t="s">
        <v>256</v>
      </c>
      <c r="E19" s="26"/>
      <c r="F19" s="26"/>
      <c r="G19" s="30"/>
    </row>
    <row r="20" spans="2:10">
      <c r="B20" s="19" t="s">
        <v>258</v>
      </c>
      <c r="E20" s="26"/>
      <c r="F20" s="26"/>
      <c r="G20" s="30"/>
      <c r="I20" s="24" t="s">
        <v>346</v>
      </c>
    </row>
    <row r="21" spans="2:10">
      <c r="B21" s="19" t="s">
        <v>259</v>
      </c>
      <c r="E21" s="26"/>
      <c r="F21" s="26"/>
      <c r="G21" s="30"/>
    </row>
    <row r="22" spans="2:10">
      <c r="B22" s="19" t="s">
        <v>264</v>
      </c>
      <c r="C22" s="26" t="s">
        <v>34</v>
      </c>
      <c r="D22" s="26" t="s">
        <v>35</v>
      </c>
      <c r="E22" s="26"/>
      <c r="F22" s="26"/>
      <c r="G22" s="30"/>
    </row>
    <row r="23" spans="2:10">
      <c r="B23" s="19" t="s">
        <v>257</v>
      </c>
      <c r="E23" s="26"/>
      <c r="F23" s="26"/>
      <c r="G23" s="30"/>
    </row>
    <row r="24" spans="2:10">
      <c r="B24" s="19" t="s">
        <v>351</v>
      </c>
      <c r="C24" s="26" t="s">
        <v>24</v>
      </c>
      <c r="E24" s="26" t="s">
        <v>352</v>
      </c>
      <c r="F24" s="26"/>
      <c r="G24" s="30"/>
    </row>
    <row r="25" spans="2:10">
      <c r="B25" s="19" t="s">
        <v>260</v>
      </c>
      <c r="E25" s="26"/>
      <c r="F25" s="26"/>
      <c r="G25" s="30"/>
    </row>
    <row r="26" spans="2:10">
      <c r="B26" s="19" t="s">
        <v>261</v>
      </c>
      <c r="E26" s="26"/>
      <c r="F26" s="26"/>
      <c r="G26" s="30"/>
    </row>
    <row r="27" spans="2:10">
      <c r="B27" s="19" t="s">
        <v>27</v>
      </c>
      <c r="C27" s="26" t="s">
        <v>28</v>
      </c>
      <c r="D27" s="26" t="s">
        <v>29</v>
      </c>
      <c r="E27" s="26"/>
      <c r="F27" s="26"/>
      <c r="G27" s="30"/>
      <c r="J27" s="28"/>
    </row>
    <row r="28" spans="2:10">
      <c r="B28" s="21"/>
      <c r="C28" s="22"/>
      <c r="D28" s="22"/>
      <c r="E28" s="22" t="s">
        <v>30</v>
      </c>
      <c r="F28" s="22"/>
      <c r="G28" s="23"/>
    </row>
    <row r="29" spans="2:10">
      <c r="B29" s="3" t="s">
        <v>288</v>
      </c>
      <c r="C29" s="26" t="s">
        <v>8</v>
      </c>
      <c r="D29" s="26" t="s">
        <v>9</v>
      </c>
      <c r="E29" s="26" t="s">
        <v>289</v>
      </c>
      <c r="F29" s="26" t="s">
        <v>263</v>
      </c>
      <c r="G29" s="27">
        <v>1</v>
      </c>
    </row>
    <row r="30" spans="2:10">
      <c r="B30" s="3" t="s">
        <v>267</v>
      </c>
      <c r="C30" s="26" t="s">
        <v>268</v>
      </c>
      <c r="E30" s="26" t="s">
        <v>36</v>
      </c>
      <c r="F30" s="26"/>
      <c r="G30" s="27"/>
    </row>
    <row r="31" spans="2:10">
      <c r="B31" s="3" t="s">
        <v>269</v>
      </c>
      <c r="C31" s="26" t="s">
        <v>270</v>
      </c>
      <c r="D31" s="26" t="s">
        <v>280</v>
      </c>
      <c r="E31" s="26" t="s">
        <v>43</v>
      </c>
      <c r="F31" s="26"/>
      <c r="G31" s="27"/>
    </row>
    <row r="32" spans="2:10">
      <c r="B32" s="19" t="s">
        <v>37</v>
      </c>
      <c r="C32" s="26" t="s">
        <v>38</v>
      </c>
      <c r="D32" s="26" t="s">
        <v>39</v>
      </c>
      <c r="E32" s="26" t="s">
        <v>36</v>
      </c>
      <c r="F32" s="26"/>
      <c r="G32" s="30"/>
    </row>
    <row r="33" spans="2:7">
      <c r="B33" s="3" t="s">
        <v>298</v>
      </c>
      <c r="C33" s="26" t="s">
        <v>8</v>
      </c>
      <c r="D33" s="26" t="s">
        <v>303</v>
      </c>
      <c r="E33" s="26" t="s">
        <v>43</v>
      </c>
      <c r="F33" s="26"/>
      <c r="G33" s="30"/>
    </row>
    <row r="34" spans="2:7">
      <c r="B34" s="19" t="s">
        <v>40</v>
      </c>
      <c r="C34" s="26" t="s">
        <v>41</v>
      </c>
      <c r="D34" s="26" t="s">
        <v>42</v>
      </c>
      <c r="E34" s="26" t="s">
        <v>43</v>
      </c>
      <c r="F34" s="26"/>
      <c r="G34" s="30"/>
    </row>
    <row r="35" spans="2:7">
      <c r="B35" s="19" t="s">
        <v>44</v>
      </c>
      <c r="C35" s="26" t="s">
        <v>45</v>
      </c>
      <c r="D35" s="26" t="s">
        <v>46</v>
      </c>
      <c r="E35" s="26" t="s">
        <v>43</v>
      </c>
      <c r="F35" s="26"/>
      <c r="G35" s="30"/>
    </row>
    <row r="36" spans="2:7">
      <c r="B36" s="19" t="s">
        <v>333</v>
      </c>
      <c r="E36" s="26" t="s">
        <v>43</v>
      </c>
      <c r="F36" s="26"/>
      <c r="G36" s="30"/>
    </row>
    <row r="37" spans="2:7">
      <c r="B37" s="19" t="s">
        <v>353</v>
      </c>
      <c r="C37" s="26" t="s">
        <v>354</v>
      </c>
      <c r="E37" s="26"/>
      <c r="F37" s="26"/>
      <c r="G37" s="30"/>
    </row>
    <row r="38" spans="2:7">
      <c r="B38" s="19"/>
      <c r="D38" s="26" t="s">
        <v>355</v>
      </c>
      <c r="E38" s="26" t="s">
        <v>55</v>
      </c>
      <c r="F38" s="26"/>
      <c r="G38" s="30"/>
    </row>
    <row r="39" spans="2:7">
      <c r="B39" s="19" t="s">
        <v>347</v>
      </c>
      <c r="E39" s="26" t="s">
        <v>55</v>
      </c>
      <c r="F39" s="26"/>
      <c r="G39" s="30"/>
    </row>
    <row r="40" spans="2:7">
      <c r="B40" s="19"/>
      <c r="C40" s="26" t="s">
        <v>271</v>
      </c>
      <c r="D40" s="26" t="s">
        <v>356</v>
      </c>
      <c r="E40" s="26" t="s">
        <v>55</v>
      </c>
      <c r="F40" s="26"/>
      <c r="G40" s="30"/>
    </row>
    <row r="41" spans="2:7">
      <c r="B41" s="19"/>
      <c r="C41" s="26" t="s">
        <v>357</v>
      </c>
      <c r="D41" s="26" t="s">
        <v>358</v>
      </c>
      <c r="E41" s="26" t="s">
        <v>55</v>
      </c>
      <c r="F41" s="26"/>
      <c r="G41" s="30"/>
    </row>
    <row r="42" spans="2:7">
      <c r="B42" s="19" t="s">
        <v>348</v>
      </c>
      <c r="E42" s="26"/>
      <c r="F42" s="26"/>
      <c r="G42" s="30"/>
    </row>
    <row r="43" spans="2:7">
      <c r="B43" s="19" t="s">
        <v>47</v>
      </c>
      <c r="C43" s="26" t="s">
        <v>48</v>
      </c>
      <c r="E43" s="26"/>
      <c r="F43" s="26"/>
      <c r="G43" s="30"/>
    </row>
    <row r="44" spans="2:7">
      <c r="B44" s="3" t="s">
        <v>336</v>
      </c>
      <c r="C44" s="26" t="s">
        <v>8</v>
      </c>
      <c r="D44" s="26" t="s">
        <v>304</v>
      </c>
      <c r="E44" s="26" t="s">
        <v>43</v>
      </c>
      <c r="F44" s="26" t="s">
        <v>263</v>
      </c>
      <c r="G44" s="30"/>
    </row>
    <row r="45" spans="2:7">
      <c r="B45" s="19" t="s">
        <v>49</v>
      </c>
      <c r="C45" s="26" t="s">
        <v>50</v>
      </c>
      <c r="D45" s="26" t="s">
        <v>35</v>
      </c>
      <c r="E45" s="26" t="s">
        <v>36</v>
      </c>
      <c r="F45" s="26"/>
      <c r="G45" s="30"/>
    </row>
    <row r="46" spans="2:7">
      <c r="B46" s="3" t="s">
        <v>339</v>
      </c>
      <c r="E46" s="26"/>
      <c r="F46" s="26"/>
      <c r="G46" s="30"/>
    </row>
    <row r="47" spans="2:7">
      <c r="B47" s="19" t="s">
        <v>51</v>
      </c>
      <c r="C47" s="26" t="s">
        <v>52</v>
      </c>
      <c r="D47" s="26" t="s">
        <v>35</v>
      </c>
      <c r="E47" s="26" t="s">
        <v>43</v>
      </c>
      <c r="F47" s="26"/>
      <c r="G47" s="30"/>
    </row>
    <row r="48" spans="2:7">
      <c r="B48" s="3" t="s">
        <v>272</v>
      </c>
      <c r="C48" s="26" t="s">
        <v>271</v>
      </c>
      <c r="D48" s="26" t="s">
        <v>272</v>
      </c>
      <c r="E48" s="26" t="s">
        <v>55</v>
      </c>
      <c r="F48" s="26"/>
      <c r="G48" s="30"/>
    </row>
    <row r="49" spans="2:7">
      <c r="B49" s="31" t="s">
        <v>53</v>
      </c>
      <c r="C49" s="32" t="s">
        <v>8</v>
      </c>
      <c r="D49" s="32" t="s">
        <v>54</v>
      </c>
      <c r="E49" s="32" t="s">
        <v>55</v>
      </c>
      <c r="F49" s="33"/>
      <c r="G49" s="34"/>
    </row>
    <row r="51" spans="2:7">
      <c r="E51" s="24" t="s">
        <v>56</v>
      </c>
    </row>
    <row r="52" spans="2:7">
      <c r="E52" s="24" t="s">
        <v>220</v>
      </c>
      <c r="F52" s="14"/>
    </row>
    <row r="53" spans="2:7">
      <c r="E53" s="24" t="s">
        <v>221</v>
      </c>
    </row>
    <row r="55" spans="2:7">
      <c r="E55" s="24" t="s">
        <v>222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1" location="CDR132L!A1" display="CDR132L" xr:uid="{6B9EA032-2528-F248-99B7-5FF636E49A09}"/>
    <hyperlink ref="B48" location="NLRP3!A1" display="NRLP3" xr:uid="{F1A94A9E-EA4F-9342-BE50-F8E114E1F1C1}"/>
    <hyperlink ref="B29" location="'insulin icodec'!A1" display="Awiqli (insulin icodec)" xr:uid="{F258F5D1-6570-0C4E-9CE3-B7F8E739166D}"/>
    <hyperlink ref="B33" location="cagrilintide!A1" display="cagrilintide" xr:uid="{DBE2C738-DF10-704E-B330-5B6AE2D29149}"/>
    <hyperlink ref="B44" location="'GLP-1-GIP'!A1" display="GLP-1/GIP" xr:uid="{268EF223-0700-0140-80FA-E785834C888D}"/>
    <hyperlink ref="B30" location="ziltivekimab!A1" display="ziltivekimab" xr:uid="{26FB4929-B1ED-BB40-947F-9F4D6C043199}"/>
    <hyperlink ref="B46" location="amycretin!A1" display="amycretin" xr:uid="{252AA84C-63B4-F943-B1B6-E20A562DDA5D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workbookViewId="0"/>
  </sheetViews>
  <sheetFormatPr baseColWidth="10" defaultRowHeight="13"/>
  <cols>
    <col min="1" max="1" width="4.83203125" style="63" bestFit="1" customWidth="1"/>
    <col min="2" max="2" width="12" style="63" bestFit="1" customWidth="1"/>
    <col min="3" max="16384" width="10.83203125" style="63"/>
  </cols>
  <sheetData>
    <row r="1" spans="1:3">
      <c r="A1" s="62" t="s">
        <v>57</v>
      </c>
    </row>
    <row r="2" spans="1:3">
      <c r="B2" s="63" t="s">
        <v>224</v>
      </c>
    </row>
    <row r="3" spans="1:3">
      <c r="B3" s="63" t="s">
        <v>231</v>
      </c>
      <c r="C3" s="63" t="s">
        <v>285</v>
      </c>
    </row>
    <row r="4" spans="1:3">
      <c r="B4" s="63" t="s">
        <v>227</v>
      </c>
      <c r="C4" s="63" t="s">
        <v>286</v>
      </c>
    </row>
    <row r="5" spans="1:3">
      <c r="B5" s="63" t="s">
        <v>162</v>
      </c>
    </row>
    <row r="6" spans="1:3">
      <c r="C6" s="66" t="s">
        <v>287</v>
      </c>
    </row>
  </sheetData>
  <hyperlinks>
    <hyperlink ref="A1" location="Main!A1" display="Main" xr:uid="{4D47E2D7-96B0-FD4A-9D10-E7BC2B658C3F}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11"/>
  <sheetViews>
    <sheetView workbookViewId="0"/>
  </sheetViews>
  <sheetFormatPr baseColWidth="10" defaultRowHeight="13"/>
  <cols>
    <col min="1" max="1" width="4.83203125" bestFit="1" customWidth="1"/>
  </cols>
  <sheetData>
    <row r="1" spans="1:3">
      <c r="A1" s="62" t="s">
        <v>57</v>
      </c>
    </row>
    <row r="2" spans="1:3">
      <c r="B2" s="63" t="s">
        <v>224</v>
      </c>
    </row>
    <row r="3" spans="1:3">
      <c r="B3" s="63" t="s">
        <v>225</v>
      </c>
      <c r="C3" s="63" t="s">
        <v>267</v>
      </c>
    </row>
    <row r="4" spans="1:3">
      <c r="B4" s="63" t="s">
        <v>1</v>
      </c>
      <c r="C4" s="63" t="s">
        <v>268</v>
      </c>
    </row>
    <row r="5" spans="1:3">
      <c r="B5" s="63" t="s">
        <v>162</v>
      </c>
    </row>
    <row r="6" spans="1:3">
      <c r="C6" s="66" t="s">
        <v>312</v>
      </c>
    </row>
    <row r="7" spans="1:3">
      <c r="C7" s="63" t="s">
        <v>311</v>
      </c>
    </row>
    <row r="10" spans="1:3">
      <c r="C10" s="66" t="s">
        <v>314</v>
      </c>
    </row>
    <row r="11" spans="1:3">
      <c r="C11" s="63" t="s">
        <v>313</v>
      </c>
    </row>
  </sheetData>
  <hyperlinks>
    <hyperlink ref="A1" location="Main!A1" display="Main" xr:uid="{B8633AB7-9FF2-E443-AF4A-99AC81F05720}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7"/>
  <sheetViews>
    <sheetView zoomScale="261" workbookViewId="0"/>
  </sheetViews>
  <sheetFormatPr baseColWidth="10" defaultRowHeight="13"/>
  <cols>
    <col min="1" max="1" width="4.83203125" bestFit="1" customWidth="1"/>
    <col min="2" max="2" width="11.5" customWidth="1"/>
  </cols>
  <sheetData>
    <row r="1" spans="1:3">
      <c r="A1" s="62" t="s">
        <v>57</v>
      </c>
    </row>
    <row r="2" spans="1:3">
      <c r="B2" s="63" t="s">
        <v>224</v>
      </c>
    </row>
    <row r="3" spans="1:3">
      <c r="B3" s="63" t="s">
        <v>225</v>
      </c>
      <c r="C3" s="63" t="s">
        <v>339</v>
      </c>
    </row>
    <row r="4" spans="1:3">
      <c r="B4" s="63" t="s">
        <v>1</v>
      </c>
      <c r="C4" s="63" t="s">
        <v>340</v>
      </c>
    </row>
    <row r="5" spans="1:3">
      <c r="B5" s="63" t="s">
        <v>227</v>
      </c>
      <c r="C5" s="63" t="s">
        <v>350</v>
      </c>
    </row>
    <row r="6" spans="1:3">
      <c r="B6" s="63" t="s">
        <v>162</v>
      </c>
    </row>
    <row r="7" spans="1:3">
      <c r="C7" s="63" t="s">
        <v>349</v>
      </c>
    </row>
  </sheetData>
  <hyperlinks>
    <hyperlink ref="A1" location="Main!A1" display="Main" xr:uid="{8C05CA37-3D30-A746-AEA7-BC0C20F00E40}"/>
  </hyperlink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7"/>
  <sheetViews>
    <sheetView workbookViewId="0"/>
  </sheetViews>
  <sheetFormatPr baseColWidth="10" defaultRowHeight="13"/>
  <cols>
    <col min="1" max="1" width="4.83203125" bestFit="1" customWidth="1"/>
    <col min="2" max="2" width="12" bestFit="1" customWidth="1"/>
  </cols>
  <sheetData>
    <row r="1" spans="1:3">
      <c r="A1" s="67" t="s">
        <v>57</v>
      </c>
    </row>
    <row r="2" spans="1:3">
      <c r="B2" s="63" t="s">
        <v>224</v>
      </c>
    </row>
    <row r="3" spans="1:3">
      <c r="B3" s="63" t="s">
        <v>1</v>
      </c>
    </row>
    <row r="4" spans="1:3">
      <c r="B4" s="63" t="s">
        <v>231</v>
      </c>
      <c r="C4" s="63" t="s">
        <v>304</v>
      </c>
    </row>
    <row r="5" spans="1:3">
      <c r="B5" s="63" t="s">
        <v>227</v>
      </c>
      <c r="C5" s="63" t="s">
        <v>228</v>
      </c>
    </row>
    <row r="6" spans="1:3">
      <c r="B6" s="63" t="s">
        <v>162</v>
      </c>
    </row>
    <row r="7" spans="1:3">
      <c r="C7" s="66" t="s">
        <v>305</v>
      </c>
    </row>
  </sheetData>
  <hyperlinks>
    <hyperlink ref="A1" location="Main!A1" display="Main" xr:uid="{07BF7B73-F5F5-474D-A3DF-353B2D567CF9}"/>
  </hyperlink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10"/>
  <sheetViews>
    <sheetView zoomScale="150" zoomScaleNormal="150" workbookViewId="0">
      <selection activeCell="C10" sqref="C10"/>
    </sheetView>
  </sheetViews>
  <sheetFormatPr baseColWidth="10" defaultRowHeight="13"/>
  <cols>
    <col min="1" max="1" width="4.83203125" bestFit="1" customWidth="1"/>
  </cols>
  <sheetData>
    <row r="1" spans="1:3">
      <c r="A1" s="62" t="s">
        <v>57</v>
      </c>
    </row>
    <row r="2" spans="1:3">
      <c r="B2" s="63" t="s">
        <v>224</v>
      </c>
    </row>
    <row r="3" spans="1:3">
      <c r="B3" s="63" t="s">
        <v>225</v>
      </c>
      <c r="C3" s="63" t="s">
        <v>298</v>
      </c>
    </row>
    <row r="4" spans="1:3">
      <c r="B4" s="63" t="s">
        <v>231</v>
      </c>
      <c r="C4" s="63" t="s">
        <v>299</v>
      </c>
    </row>
    <row r="5" spans="1:3">
      <c r="B5" s="63" t="s">
        <v>1</v>
      </c>
      <c r="C5" s="63" t="s">
        <v>300</v>
      </c>
    </row>
    <row r="6" spans="1:3">
      <c r="B6" s="63" t="s">
        <v>162</v>
      </c>
    </row>
    <row r="7" spans="1:3">
      <c r="C7" s="66" t="s">
        <v>301</v>
      </c>
    </row>
    <row r="8" spans="1:3">
      <c r="C8" s="63" t="s">
        <v>302</v>
      </c>
    </row>
    <row r="10" spans="1:3">
      <c r="C10" s="66" t="s">
        <v>344</v>
      </c>
    </row>
  </sheetData>
  <hyperlinks>
    <hyperlink ref="A1" location="Main!A1" display="Main" xr:uid="{4465755A-ADBD-6941-AF00-B623351A5769}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baseColWidth="10" defaultRowHeight="13"/>
  <cols>
    <col min="1" max="1" width="4.83203125" bestFit="1" customWidth="1"/>
  </cols>
  <sheetData>
    <row r="1" spans="1:3">
      <c r="A1" s="62" t="s">
        <v>57</v>
      </c>
    </row>
    <row r="2" spans="1:3">
      <c r="B2" s="63" t="s">
        <v>224</v>
      </c>
      <c r="C2" s="63" t="s">
        <v>269</v>
      </c>
    </row>
    <row r="3" spans="1:3">
      <c r="B3" s="63" t="s">
        <v>231</v>
      </c>
      <c r="C3" s="63" t="s">
        <v>281</v>
      </c>
    </row>
    <row r="4" spans="1:3">
      <c r="B4" s="63" t="s">
        <v>283</v>
      </c>
      <c r="C4" s="63" t="s">
        <v>284</v>
      </c>
    </row>
    <row r="5" spans="1:3">
      <c r="B5" s="63" t="s">
        <v>162</v>
      </c>
    </row>
    <row r="6" spans="1:3">
      <c r="C6" s="66" t="s">
        <v>282</v>
      </c>
    </row>
  </sheetData>
  <hyperlinks>
    <hyperlink ref="A1" location="Main!A1" display="Main" xr:uid="{C983896F-7B16-3F46-BA1C-69773DC415B1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K112"/>
  <sheetViews>
    <sheetView tabSelected="1" zoomScale="145" zoomScaleNormal="145" workbookViewId="0">
      <pane xSplit="2" ySplit="2" topLeftCell="CD50" activePane="bottomRight" state="frozen"/>
      <selection pane="topRight" activeCell="C1" sqref="C1"/>
      <selection pane="bottomLeft" activeCell="A3" sqref="A3"/>
      <selection pane="bottomRight" activeCell="CR52" sqref="CR52:CR53"/>
    </sheetView>
  </sheetViews>
  <sheetFormatPr baseColWidth="10" defaultColWidth="9.1640625" defaultRowHeight="13" customHeight="1"/>
  <cols>
    <col min="1" max="1" width="5" style="5" bestFit="1" customWidth="1"/>
    <col min="2" max="2" width="19.1640625" style="18" customWidth="1"/>
    <col min="3" max="56" width="6.83203125" style="6" customWidth="1"/>
    <col min="57" max="68" width="7.83203125" style="6" customWidth="1"/>
    <col min="69" max="70" width="6.83203125" style="6" customWidth="1"/>
    <col min="71" max="78" width="7.1640625" style="6" bestFit="1" customWidth="1"/>
    <col min="79" max="79" width="7.6640625" style="6" customWidth="1"/>
    <col min="80" max="81" width="7.5" style="6" bestFit="1" customWidth="1"/>
    <col min="82" max="89" width="7.6640625" style="6" customWidth="1"/>
    <col min="90" max="104" width="7.6640625" style="7" customWidth="1"/>
    <col min="105" max="16384" width="9.1640625" style="7"/>
  </cols>
  <sheetData>
    <row r="1" spans="1:141" ht="13" customHeight="1">
      <c r="A1" s="16" t="s">
        <v>57</v>
      </c>
      <c r="B1" s="37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  <c r="AA1" s="38"/>
      <c r="AB1" s="38"/>
      <c r="AC1" s="38"/>
      <c r="AD1" s="38"/>
      <c r="AE1" s="38"/>
      <c r="AF1" s="38"/>
      <c r="AG1" s="38"/>
      <c r="AH1" s="38"/>
      <c r="AI1" s="38"/>
      <c r="AJ1" s="38"/>
      <c r="AK1" s="38"/>
      <c r="AL1" s="38"/>
      <c r="AM1" s="38"/>
      <c r="AN1" s="38"/>
      <c r="AO1" s="38"/>
      <c r="AP1" s="38"/>
      <c r="AQ1" s="38"/>
      <c r="AR1" s="38"/>
      <c r="AS1" s="38"/>
      <c r="AT1" s="38"/>
      <c r="AU1" s="38"/>
      <c r="AV1" s="38"/>
      <c r="AW1" s="38"/>
      <c r="AX1" s="38"/>
      <c r="AY1" s="38"/>
      <c r="AZ1" s="38"/>
      <c r="BA1" s="38"/>
      <c r="BB1" s="38"/>
      <c r="BC1" s="38"/>
      <c r="BD1" s="38"/>
      <c r="BE1" s="38"/>
      <c r="BF1" s="38"/>
      <c r="BG1" s="38"/>
      <c r="BH1" s="38"/>
      <c r="BI1" s="38"/>
      <c r="BJ1" s="38"/>
      <c r="BK1" s="38"/>
      <c r="BL1" s="38"/>
      <c r="BM1" s="38"/>
      <c r="BN1" s="55"/>
      <c r="BO1" s="38"/>
      <c r="BP1" s="38"/>
      <c r="BQ1" s="38"/>
      <c r="BR1" s="38"/>
      <c r="BS1" s="38"/>
      <c r="BT1" s="38"/>
      <c r="BU1" s="39"/>
      <c r="BV1" s="39"/>
      <c r="BW1" s="39"/>
      <c r="BX1" s="39"/>
      <c r="BY1" s="39"/>
      <c r="BZ1" s="39"/>
      <c r="CA1" s="39"/>
      <c r="CB1" s="39"/>
      <c r="CC1" s="39"/>
      <c r="CD1" s="39"/>
      <c r="CE1" s="39"/>
      <c r="CF1" s="39"/>
      <c r="CG1" s="39"/>
      <c r="CH1" s="39"/>
      <c r="CI1" s="39"/>
      <c r="CJ1" s="39"/>
      <c r="CK1" s="39"/>
      <c r="CL1" s="40"/>
      <c r="CM1" s="40"/>
      <c r="CN1" s="40"/>
      <c r="CO1" s="40"/>
      <c r="CP1" s="40"/>
      <c r="CQ1" s="40"/>
      <c r="CR1" s="40"/>
      <c r="CS1" s="40"/>
      <c r="CT1" s="40"/>
      <c r="CU1" s="40"/>
      <c r="CV1" s="40"/>
      <c r="CW1" s="40"/>
      <c r="CX1" s="40"/>
      <c r="CY1" s="40"/>
      <c r="CZ1" s="40"/>
      <c r="DA1" s="40"/>
      <c r="DB1" s="40"/>
      <c r="DC1" s="40"/>
      <c r="DD1" s="40"/>
      <c r="DE1" s="40"/>
      <c r="DF1" s="40"/>
      <c r="DG1" s="40"/>
      <c r="DH1" s="40"/>
      <c r="DI1" s="40"/>
      <c r="DJ1" s="40"/>
      <c r="DK1" s="40"/>
      <c r="DL1" s="40"/>
      <c r="DM1" s="40"/>
      <c r="DN1" s="40"/>
      <c r="DO1" s="40"/>
      <c r="DP1" s="40"/>
      <c r="DQ1" s="40"/>
      <c r="DR1" s="40"/>
      <c r="DS1" s="40"/>
      <c r="DT1" s="40"/>
      <c r="DU1" s="40"/>
      <c r="DV1" s="40"/>
      <c r="DW1" s="40"/>
      <c r="DX1" s="40"/>
      <c r="DY1" s="40"/>
      <c r="DZ1" s="40"/>
      <c r="EA1" s="40"/>
      <c r="EB1" s="40"/>
      <c r="EC1" s="40"/>
      <c r="ED1" s="40"/>
      <c r="EE1" s="40"/>
      <c r="EF1" s="40"/>
      <c r="EG1" s="40"/>
      <c r="EH1" s="40"/>
      <c r="EI1" s="40"/>
      <c r="EJ1" s="40"/>
      <c r="EK1" s="40"/>
    </row>
    <row r="2" spans="1:141" ht="13" customHeight="1">
      <c r="A2" s="41"/>
      <c r="B2" s="36"/>
      <c r="C2" s="42" t="s">
        <v>58</v>
      </c>
      <c r="D2" s="42" t="s">
        <v>59</v>
      </c>
      <c r="E2" s="42" t="s">
        <v>60</v>
      </c>
      <c r="F2" s="42" t="s">
        <v>61</v>
      </c>
      <c r="G2" s="42" t="s">
        <v>62</v>
      </c>
      <c r="H2" s="42" t="s">
        <v>63</v>
      </c>
      <c r="I2" s="42" t="s">
        <v>64</v>
      </c>
      <c r="J2" s="42" t="s">
        <v>65</v>
      </c>
      <c r="K2" s="42" t="s">
        <v>66</v>
      </c>
      <c r="L2" s="42" t="s">
        <v>67</v>
      </c>
      <c r="M2" s="42" t="s">
        <v>68</v>
      </c>
      <c r="N2" s="42" t="s">
        <v>69</v>
      </c>
      <c r="O2" s="42" t="s">
        <v>70</v>
      </c>
      <c r="P2" s="42" t="s">
        <v>71</v>
      </c>
      <c r="Q2" s="42" t="s">
        <v>72</v>
      </c>
      <c r="R2" s="42" t="s">
        <v>73</v>
      </c>
      <c r="S2" s="42" t="s">
        <v>74</v>
      </c>
      <c r="T2" s="42" t="s">
        <v>75</v>
      </c>
      <c r="U2" s="42" t="s">
        <v>76</v>
      </c>
      <c r="V2" s="42" t="s">
        <v>77</v>
      </c>
      <c r="W2" s="42" t="s">
        <v>78</v>
      </c>
      <c r="X2" s="42" t="s">
        <v>79</v>
      </c>
      <c r="Y2" s="42" t="s">
        <v>80</v>
      </c>
      <c r="Z2" s="42" t="s">
        <v>81</v>
      </c>
      <c r="AA2" s="42" t="s">
        <v>82</v>
      </c>
      <c r="AB2" s="42" t="s">
        <v>12</v>
      </c>
      <c r="AC2" s="42" t="s">
        <v>83</v>
      </c>
      <c r="AD2" s="42" t="s">
        <v>84</v>
      </c>
      <c r="AE2" s="42" t="s">
        <v>85</v>
      </c>
      <c r="AF2" s="42" t="s">
        <v>86</v>
      </c>
      <c r="AG2" s="42" t="s">
        <v>87</v>
      </c>
      <c r="AH2" s="42" t="s">
        <v>88</v>
      </c>
      <c r="AI2" s="42" t="s">
        <v>89</v>
      </c>
      <c r="AJ2" s="42" t="s">
        <v>90</v>
      </c>
      <c r="AK2" s="42" t="s">
        <v>91</v>
      </c>
      <c r="AL2" s="42" t="s">
        <v>92</v>
      </c>
      <c r="AM2" s="42" t="s">
        <v>93</v>
      </c>
      <c r="AN2" s="42" t="s">
        <v>94</v>
      </c>
      <c r="AO2" s="42" t="s">
        <v>95</v>
      </c>
      <c r="AP2" s="42" t="s">
        <v>96</v>
      </c>
      <c r="AQ2" s="42" t="s">
        <v>97</v>
      </c>
      <c r="AR2" s="42" t="s">
        <v>98</v>
      </c>
      <c r="AS2" s="42" t="s">
        <v>99</v>
      </c>
      <c r="AT2" s="42" t="s">
        <v>100</v>
      </c>
      <c r="AU2" s="42" t="s">
        <v>101</v>
      </c>
      <c r="AV2" s="42" t="s">
        <v>102</v>
      </c>
      <c r="AW2" s="42" t="s">
        <v>103</v>
      </c>
      <c r="AX2" s="42" t="s">
        <v>104</v>
      </c>
      <c r="AY2" s="42" t="s">
        <v>105</v>
      </c>
      <c r="AZ2" s="42" t="s">
        <v>106</v>
      </c>
      <c r="BA2" s="42" t="s">
        <v>107</v>
      </c>
      <c r="BB2" s="42" t="s">
        <v>108</v>
      </c>
      <c r="BC2" s="42" t="s">
        <v>109</v>
      </c>
      <c r="BD2" s="42" t="s">
        <v>110</v>
      </c>
      <c r="BE2" s="42" t="s">
        <v>111</v>
      </c>
      <c r="BF2" s="42" t="s">
        <v>112</v>
      </c>
      <c r="BG2" s="42" t="s">
        <v>113</v>
      </c>
      <c r="BH2" s="42" t="s">
        <v>114</v>
      </c>
      <c r="BI2" s="42" t="s">
        <v>115</v>
      </c>
      <c r="BJ2" s="42" t="s">
        <v>116</v>
      </c>
      <c r="BK2" s="42" t="s">
        <v>192</v>
      </c>
      <c r="BL2" s="42" t="s">
        <v>193</v>
      </c>
      <c r="BM2" s="42" t="s">
        <v>194</v>
      </c>
      <c r="BN2" s="42" t="s">
        <v>195</v>
      </c>
      <c r="BO2" s="42" t="s">
        <v>248</v>
      </c>
      <c r="BP2" s="42" t="s">
        <v>249</v>
      </c>
      <c r="BQ2" s="42" t="s">
        <v>250</v>
      </c>
      <c r="BR2" s="42" t="s">
        <v>251</v>
      </c>
      <c r="BS2" s="43"/>
      <c r="BT2" s="42" t="s">
        <v>117</v>
      </c>
      <c r="BU2" s="42" t="s">
        <v>118</v>
      </c>
      <c r="BV2" s="42" t="s">
        <v>119</v>
      </c>
      <c r="BW2" s="42" t="s">
        <v>120</v>
      </c>
      <c r="BX2" s="42" t="s">
        <v>121</v>
      </c>
      <c r="BY2" s="42" t="s">
        <v>122</v>
      </c>
      <c r="BZ2" s="42" t="s">
        <v>123</v>
      </c>
      <c r="CA2" s="42">
        <v>2005</v>
      </c>
      <c r="CB2" s="42">
        <v>2006</v>
      </c>
      <c r="CC2" s="42">
        <v>2007</v>
      </c>
      <c r="CD2" s="42">
        <v>2008</v>
      </c>
      <c r="CE2" s="42">
        <v>2009</v>
      </c>
      <c r="CF2" s="42">
        <v>2010</v>
      </c>
      <c r="CG2" s="42">
        <v>2011</v>
      </c>
      <c r="CH2" s="42">
        <v>2012</v>
      </c>
      <c r="CI2" s="42">
        <v>2013</v>
      </c>
      <c r="CJ2" s="42">
        <v>2014</v>
      </c>
      <c r="CK2" s="42">
        <v>2015</v>
      </c>
      <c r="CL2" s="60">
        <f>+CK2+1</f>
        <v>2016</v>
      </c>
      <c r="CM2" s="60">
        <f t="shared" ref="CM2:CZ2" si="0">+CL2+1</f>
        <v>2017</v>
      </c>
      <c r="CN2" s="60">
        <f t="shared" si="0"/>
        <v>2018</v>
      </c>
      <c r="CO2" s="60">
        <f t="shared" si="0"/>
        <v>2019</v>
      </c>
      <c r="CP2" s="60">
        <f t="shared" si="0"/>
        <v>2020</v>
      </c>
      <c r="CQ2" s="60">
        <f t="shared" si="0"/>
        <v>2021</v>
      </c>
      <c r="CR2" s="60">
        <f t="shared" si="0"/>
        <v>2022</v>
      </c>
      <c r="CS2" s="60">
        <f t="shared" si="0"/>
        <v>2023</v>
      </c>
      <c r="CT2" s="60">
        <f t="shared" si="0"/>
        <v>2024</v>
      </c>
      <c r="CU2" s="60">
        <f t="shared" si="0"/>
        <v>2025</v>
      </c>
      <c r="CV2" s="60">
        <f t="shared" si="0"/>
        <v>2026</v>
      </c>
      <c r="CW2" s="60">
        <f t="shared" si="0"/>
        <v>2027</v>
      </c>
      <c r="CX2" s="60">
        <f t="shared" si="0"/>
        <v>2028</v>
      </c>
      <c r="CY2" s="60">
        <f t="shared" si="0"/>
        <v>2029</v>
      </c>
      <c r="CZ2" s="60">
        <f t="shared" si="0"/>
        <v>2030</v>
      </c>
      <c r="DA2" s="58"/>
      <c r="DB2" s="40"/>
      <c r="DC2" s="40"/>
      <c r="DD2" s="40"/>
      <c r="DE2" s="40"/>
      <c r="DF2" s="40"/>
      <c r="DG2" s="40"/>
      <c r="DH2" s="40"/>
      <c r="DI2" s="40"/>
      <c r="DJ2" s="40"/>
      <c r="DK2" s="40"/>
      <c r="DL2" s="40"/>
      <c r="DM2" s="40"/>
      <c r="DN2" s="40"/>
      <c r="DO2" s="40"/>
      <c r="DP2" s="40"/>
      <c r="DQ2" s="40"/>
      <c r="DR2" s="40"/>
      <c r="DS2" s="40"/>
      <c r="DT2" s="40"/>
      <c r="DU2" s="40"/>
      <c r="DV2" s="40"/>
      <c r="DW2" s="40"/>
      <c r="DX2" s="40"/>
      <c r="DY2" s="40"/>
      <c r="DZ2" s="40"/>
      <c r="EA2" s="40"/>
      <c r="EB2" s="40"/>
      <c r="EC2" s="40"/>
      <c r="ED2" s="40"/>
      <c r="EE2" s="40"/>
      <c r="EF2" s="40"/>
      <c r="EG2" s="40"/>
      <c r="EH2" s="40"/>
      <c r="EI2" s="40"/>
      <c r="EJ2" s="40"/>
      <c r="EK2" s="40"/>
    </row>
    <row r="3" spans="1:141" s="17" customFormat="1" ht="13" customHeight="1">
      <c r="A3" s="35"/>
      <c r="B3" s="35" t="s">
        <v>124</v>
      </c>
      <c r="C3" s="44"/>
      <c r="D3" s="44"/>
      <c r="E3" s="44"/>
      <c r="F3" s="44"/>
      <c r="G3" s="44"/>
      <c r="H3" s="44"/>
      <c r="I3" s="44"/>
      <c r="J3" s="44"/>
      <c r="K3" s="44">
        <v>2616</v>
      </c>
      <c r="L3" s="44">
        <f>5659-K3</f>
        <v>3043</v>
      </c>
      <c r="M3" s="44">
        <f>8691-L3-K3</f>
        <v>3032</v>
      </c>
      <c r="N3" s="44">
        <f>11900-M3-L3-K3</f>
        <v>3209</v>
      </c>
      <c r="O3" s="44">
        <v>2955</v>
      </c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  <c r="AA3" s="44">
        <v>3901</v>
      </c>
      <c r="AB3" s="44">
        <f>8152-AA3</f>
        <v>4251</v>
      </c>
      <c r="AC3" s="44"/>
      <c r="AD3" s="44"/>
      <c r="AE3" s="44"/>
      <c r="AF3" s="44"/>
      <c r="AG3" s="44"/>
      <c r="AH3" s="44"/>
      <c r="AI3" s="44"/>
      <c r="AJ3" s="44"/>
      <c r="AK3" s="44"/>
      <c r="AL3" s="44"/>
      <c r="AM3" s="44"/>
      <c r="AN3" s="44"/>
      <c r="AO3" s="44"/>
      <c r="AP3" s="44"/>
      <c r="AQ3" s="44"/>
      <c r="AR3" s="44">
        <v>4799</v>
      </c>
      <c r="AS3" s="44">
        <v>4445</v>
      </c>
      <c r="AT3" s="44">
        <v>4824</v>
      </c>
      <c r="AU3" s="44">
        <v>4746</v>
      </c>
      <c r="AV3" s="44">
        <v>4486</v>
      </c>
      <c r="AW3" s="44">
        <v>4331</v>
      </c>
      <c r="AX3" s="44">
        <v>4497</v>
      </c>
      <c r="AY3" s="44">
        <v>4724</v>
      </c>
      <c r="AZ3" s="44">
        <v>4093</v>
      </c>
      <c r="BA3" s="44">
        <v>4244</v>
      </c>
      <c r="BB3" s="44">
        <v>3867</v>
      </c>
      <c r="BC3" s="44">
        <v>4154</v>
      </c>
      <c r="BD3" s="44">
        <v>3817</v>
      </c>
      <c r="BE3" s="44">
        <v>3943</v>
      </c>
      <c r="BF3" s="44">
        <v>4025</v>
      </c>
      <c r="BG3" s="44">
        <v>4345</v>
      </c>
      <c r="BH3" s="44">
        <v>3371</v>
      </c>
      <c r="BI3" s="44">
        <v>3778</v>
      </c>
      <c r="BJ3" s="44">
        <v>3966</v>
      </c>
      <c r="BK3" s="44">
        <v>3970</v>
      </c>
      <c r="BL3" s="44">
        <v>3064</v>
      </c>
      <c r="BM3" s="44">
        <v>3234</v>
      </c>
      <c r="BN3" s="44">
        <v>3508</v>
      </c>
      <c r="BO3" s="44"/>
      <c r="BP3" s="44"/>
      <c r="BQ3" s="44"/>
      <c r="BR3" s="44"/>
      <c r="BS3" s="45"/>
      <c r="BT3" s="44"/>
      <c r="BU3" s="44"/>
      <c r="BV3" s="44"/>
      <c r="BW3" s="44"/>
      <c r="BX3" s="44"/>
      <c r="BY3" s="44"/>
      <c r="BZ3" s="44"/>
      <c r="CA3" s="44"/>
      <c r="CB3" s="44"/>
      <c r="CC3" s="44"/>
      <c r="CD3" s="44"/>
      <c r="CE3" s="44"/>
      <c r="CF3" s="44"/>
      <c r="CG3" s="44"/>
      <c r="CH3" s="44"/>
      <c r="CI3" s="44"/>
      <c r="CJ3" s="44"/>
      <c r="CK3" s="44"/>
      <c r="CL3" s="46"/>
      <c r="CM3" s="46"/>
      <c r="CN3" s="46"/>
      <c r="CO3" s="46"/>
      <c r="CP3" s="46">
        <f>SUM(AY3:BB3)</f>
        <v>16928</v>
      </c>
      <c r="CQ3" s="46">
        <f>SUM(BC3:BF3)</f>
        <v>15939</v>
      </c>
      <c r="CR3" s="46">
        <f>SUM(BG3:BJ3)</f>
        <v>15460</v>
      </c>
      <c r="CS3" s="46">
        <f>SUM(BK3:BN3)</f>
        <v>13776</v>
      </c>
      <c r="CT3" s="46">
        <f t="shared" ref="CT3:CT11" si="1">SUM(BO3:BR3)</f>
        <v>0</v>
      </c>
      <c r="CU3" s="46"/>
      <c r="CV3" s="46"/>
      <c r="CW3" s="46"/>
      <c r="CX3" s="46"/>
      <c r="CY3" s="46"/>
      <c r="CZ3" s="46"/>
      <c r="DA3" s="46"/>
      <c r="DB3" s="46"/>
      <c r="DC3" s="46"/>
      <c r="DD3" s="46"/>
      <c r="DE3" s="46"/>
      <c r="DF3" s="46"/>
      <c r="DG3" s="46"/>
      <c r="DH3" s="46"/>
      <c r="DI3" s="46"/>
      <c r="DJ3" s="46"/>
      <c r="DK3" s="46"/>
      <c r="DL3" s="46"/>
      <c r="DM3" s="46"/>
      <c r="DN3" s="46"/>
      <c r="DO3" s="46"/>
      <c r="DP3" s="46"/>
      <c r="DQ3" s="46"/>
      <c r="DR3" s="46"/>
      <c r="DS3" s="46"/>
      <c r="DT3" s="46"/>
      <c r="DU3" s="46"/>
      <c r="DV3" s="46"/>
      <c r="DW3" s="46"/>
      <c r="DX3" s="46"/>
      <c r="DY3" s="46"/>
      <c r="DZ3" s="46"/>
      <c r="EA3" s="46"/>
      <c r="EB3" s="46"/>
      <c r="EC3" s="46"/>
      <c r="ED3" s="46"/>
      <c r="EE3" s="46"/>
      <c r="EF3" s="46"/>
      <c r="EG3" s="46"/>
      <c r="EH3" s="46"/>
      <c r="EI3" s="46"/>
      <c r="EJ3" s="46"/>
      <c r="EK3" s="46"/>
    </row>
    <row r="4" spans="1:141" s="17" customFormat="1" ht="13" customHeight="1">
      <c r="A4" s="35"/>
      <c r="B4" s="35" t="s">
        <v>180</v>
      </c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4"/>
      <c r="AK4" s="44"/>
      <c r="AL4" s="44"/>
      <c r="AM4" s="44"/>
      <c r="AN4" s="44"/>
      <c r="AO4" s="44"/>
      <c r="AP4" s="44"/>
      <c r="AR4" s="44">
        <f>2587-AR5</f>
        <v>179</v>
      </c>
      <c r="AS4" s="44">
        <f>2527-AS5</f>
        <v>195</v>
      </c>
      <c r="AT4" s="44">
        <v>206</v>
      </c>
      <c r="AU4" s="44">
        <v>231</v>
      </c>
      <c r="AV4" s="44">
        <v>272</v>
      </c>
      <c r="AW4" s="44">
        <v>301</v>
      </c>
      <c r="AX4" s="44">
        <v>439</v>
      </c>
      <c r="AY4" s="44">
        <v>390</v>
      </c>
      <c r="AZ4" s="44">
        <v>286</v>
      </c>
      <c r="BA4" s="44">
        <v>345</v>
      </c>
      <c r="BB4" s="44">
        <v>364</v>
      </c>
      <c r="BC4" s="44">
        <v>402</v>
      </c>
      <c r="BD4" s="44">
        <v>435</v>
      </c>
      <c r="BE4" s="44">
        <v>416</v>
      </c>
      <c r="BF4" s="44">
        <v>495</v>
      </c>
      <c r="BG4" s="44">
        <v>497</v>
      </c>
      <c r="BH4" s="44">
        <v>516</v>
      </c>
      <c r="BI4" s="44">
        <v>485</v>
      </c>
      <c r="BJ4" s="44">
        <v>505</v>
      </c>
      <c r="BK4" s="44">
        <v>518</v>
      </c>
      <c r="BL4" s="44">
        <v>447</v>
      </c>
      <c r="BM4" s="44">
        <v>574</v>
      </c>
      <c r="BN4" s="44">
        <v>634</v>
      </c>
      <c r="BO4" s="44"/>
      <c r="BP4" s="44"/>
      <c r="BQ4" s="44"/>
      <c r="BR4" s="44"/>
      <c r="BS4" s="45"/>
      <c r="BT4" s="44"/>
      <c r="BU4" s="44"/>
      <c r="BV4" s="44"/>
      <c r="BW4" s="44"/>
      <c r="BX4" s="44"/>
      <c r="BY4" s="44"/>
      <c r="BZ4" s="44"/>
      <c r="CA4" s="44"/>
      <c r="CB4" s="44"/>
      <c r="CC4" s="44"/>
      <c r="CD4" s="44"/>
      <c r="CE4" s="44"/>
      <c r="CF4" s="44"/>
      <c r="CG4" s="44"/>
      <c r="CH4" s="44"/>
      <c r="CI4" s="44"/>
      <c r="CJ4" s="44"/>
      <c r="CK4" s="44"/>
      <c r="CL4" s="46"/>
      <c r="CM4" s="46"/>
      <c r="CN4" s="46"/>
      <c r="CO4" s="46"/>
      <c r="CP4" s="46">
        <f t="shared" ref="CP4:CP9" si="2">SUM(AY4:BB4)</f>
        <v>1385</v>
      </c>
      <c r="CQ4" s="46">
        <f t="shared" ref="CQ4:CQ9" si="3">SUM(BC4:BF4)</f>
        <v>1748</v>
      </c>
      <c r="CR4" s="46">
        <f t="shared" ref="CR4:CR9" si="4">SUM(BG4:BJ4)</f>
        <v>2003</v>
      </c>
      <c r="CS4" s="46">
        <f t="shared" ref="CS4:CS9" si="5">SUM(BK4:BN4)</f>
        <v>2173</v>
      </c>
      <c r="CT4" s="46">
        <f t="shared" si="1"/>
        <v>0</v>
      </c>
      <c r="CU4" s="46"/>
      <c r="CV4" s="46"/>
      <c r="CW4" s="46"/>
      <c r="CX4" s="46"/>
      <c r="CY4" s="46"/>
      <c r="CZ4" s="46"/>
      <c r="DA4" s="46"/>
      <c r="DB4" s="46"/>
      <c r="DC4" s="46"/>
      <c r="DD4" s="46"/>
      <c r="DE4" s="46"/>
      <c r="DF4" s="46"/>
      <c r="DG4" s="46"/>
      <c r="DH4" s="46"/>
      <c r="DI4" s="46"/>
      <c r="DJ4" s="46"/>
      <c r="DK4" s="46"/>
      <c r="DL4" s="46"/>
      <c r="DM4" s="46"/>
      <c r="DN4" s="46"/>
      <c r="DO4" s="46"/>
      <c r="DP4" s="46"/>
      <c r="DQ4" s="46"/>
      <c r="DR4" s="46"/>
      <c r="DS4" s="46"/>
      <c r="DT4" s="46"/>
      <c r="DU4" s="46"/>
      <c r="DV4" s="46"/>
      <c r="DW4" s="46"/>
      <c r="DX4" s="46"/>
      <c r="DY4" s="46"/>
      <c r="DZ4" s="46"/>
      <c r="EA4" s="46"/>
      <c r="EB4" s="46"/>
      <c r="EC4" s="46"/>
      <c r="ED4" s="46"/>
      <c r="EE4" s="46"/>
      <c r="EF4" s="46"/>
      <c r="EG4" s="46"/>
      <c r="EH4" s="46"/>
      <c r="EI4" s="46"/>
      <c r="EJ4" s="46"/>
      <c r="EK4" s="46"/>
    </row>
    <row r="5" spans="1:141" s="17" customFormat="1" ht="13" customHeight="1">
      <c r="A5" s="35"/>
      <c r="B5" s="35" t="s">
        <v>125</v>
      </c>
      <c r="C5" s="44"/>
      <c r="D5" s="44"/>
      <c r="E5" s="44"/>
      <c r="F5" s="44"/>
      <c r="G5" s="44"/>
      <c r="H5" s="44"/>
      <c r="I5" s="44"/>
      <c r="J5" s="44"/>
      <c r="K5" s="44">
        <v>1729</v>
      </c>
      <c r="L5" s="44">
        <f>3718-K5</f>
        <v>1989</v>
      </c>
      <c r="M5" s="44">
        <f>5716-L5-K5</f>
        <v>1998</v>
      </c>
      <c r="N5" s="44">
        <f>7821-M5-L5-K5</f>
        <v>2105</v>
      </c>
      <c r="O5" s="44">
        <v>1975</v>
      </c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  <c r="AA5" s="44">
        <v>2358</v>
      </c>
      <c r="AB5" s="44">
        <f>4840-AA5</f>
        <v>2482</v>
      </c>
      <c r="AC5" s="44"/>
      <c r="AD5" s="44"/>
      <c r="AE5" s="44"/>
      <c r="AF5" s="44"/>
      <c r="AG5" s="44"/>
      <c r="AH5" s="44"/>
      <c r="AI5" s="44"/>
      <c r="AJ5" s="44"/>
      <c r="AK5" s="44"/>
      <c r="AL5" s="44"/>
      <c r="AM5" s="44"/>
      <c r="AN5" s="44"/>
      <c r="AO5" s="44"/>
      <c r="AP5" s="44"/>
      <c r="AQ5" s="44"/>
      <c r="AR5" s="44">
        <v>2408</v>
      </c>
      <c r="AS5" s="44">
        <v>2332</v>
      </c>
      <c r="AT5" s="44">
        <v>2239</v>
      </c>
      <c r="AU5" s="44">
        <v>2545</v>
      </c>
      <c r="AV5" s="44">
        <v>2303</v>
      </c>
      <c r="AW5" s="44">
        <v>2318</v>
      </c>
      <c r="AX5" s="44">
        <v>2419</v>
      </c>
      <c r="AY5" s="44">
        <v>2618</v>
      </c>
      <c r="AZ5" s="44">
        <v>2359</v>
      </c>
      <c r="BA5" s="44">
        <v>2276</v>
      </c>
      <c r="BB5" s="44">
        <v>2381</v>
      </c>
      <c r="BC5" s="44">
        <v>2533</v>
      </c>
      <c r="BD5" s="44">
        <v>2294</v>
      </c>
      <c r="BE5" s="44">
        <v>2398</v>
      </c>
      <c r="BF5" s="44">
        <v>2267</v>
      </c>
      <c r="BG5" s="44">
        <v>2375</v>
      </c>
      <c r="BH5" s="44">
        <v>1786</v>
      </c>
      <c r="BI5" s="44">
        <v>1899</v>
      </c>
      <c r="BJ5" s="44">
        <v>1613</v>
      </c>
      <c r="BK5" s="44">
        <v>1805</v>
      </c>
      <c r="BL5" s="44">
        <v>1470</v>
      </c>
      <c r="BM5" s="44">
        <v>1355</v>
      </c>
      <c r="BN5" s="44">
        <v>1214</v>
      </c>
      <c r="BO5" s="44"/>
      <c r="BP5" s="44"/>
      <c r="BQ5" s="44"/>
      <c r="BR5" s="44"/>
      <c r="BS5" s="45"/>
      <c r="BT5" s="44"/>
      <c r="BU5" s="44"/>
      <c r="BV5" s="44"/>
      <c r="BW5" s="44"/>
      <c r="BX5" s="44"/>
      <c r="BY5" s="44"/>
      <c r="BZ5" s="44"/>
      <c r="CA5" s="44"/>
      <c r="CB5" s="44"/>
      <c r="CC5" s="44"/>
      <c r="CD5" s="44"/>
      <c r="CE5" s="44"/>
      <c r="CF5" s="44"/>
      <c r="CG5" s="44"/>
      <c r="CH5" s="44"/>
      <c r="CI5" s="44"/>
      <c r="CJ5" s="44"/>
      <c r="CK5" s="44"/>
      <c r="CL5" s="46"/>
      <c r="CM5" s="46"/>
      <c r="CN5" s="46"/>
      <c r="CO5" s="46"/>
      <c r="CP5" s="46">
        <f t="shared" si="2"/>
        <v>9634</v>
      </c>
      <c r="CQ5" s="46">
        <f t="shared" si="3"/>
        <v>9492</v>
      </c>
      <c r="CR5" s="46">
        <f t="shared" si="4"/>
        <v>7673</v>
      </c>
      <c r="CS5" s="46">
        <f t="shared" si="5"/>
        <v>5844</v>
      </c>
      <c r="CT5" s="46">
        <f t="shared" si="1"/>
        <v>0</v>
      </c>
      <c r="CU5" s="46"/>
      <c r="CV5" s="46"/>
      <c r="CW5" s="46"/>
      <c r="CX5" s="46"/>
      <c r="CY5" s="46"/>
      <c r="CZ5" s="46"/>
      <c r="DA5" s="46"/>
      <c r="DB5" s="46"/>
      <c r="DC5" s="46"/>
      <c r="DD5" s="46"/>
      <c r="DE5" s="46"/>
      <c r="DF5" s="46"/>
      <c r="DG5" s="46"/>
      <c r="DH5" s="46"/>
      <c r="DI5" s="46"/>
      <c r="DJ5" s="46"/>
      <c r="DK5" s="46"/>
      <c r="DL5" s="46"/>
      <c r="DM5" s="46"/>
      <c r="DN5" s="46"/>
      <c r="DO5" s="46"/>
      <c r="DP5" s="46"/>
      <c r="DQ5" s="46"/>
      <c r="DR5" s="46"/>
      <c r="DS5" s="46"/>
      <c r="DT5" s="46"/>
      <c r="DU5" s="46"/>
      <c r="DV5" s="46"/>
      <c r="DW5" s="46"/>
      <c r="DX5" s="46"/>
      <c r="DY5" s="46"/>
      <c r="DZ5" s="46"/>
      <c r="EA5" s="46"/>
      <c r="EB5" s="46"/>
      <c r="EC5" s="46"/>
      <c r="ED5" s="46"/>
      <c r="EE5" s="46"/>
      <c r="EF5" s="46"/>
      <c r="EG5" s="46"/>
      <c r="EH5" s="46"/>
      <c r="EI5" s="46"/>
      <c r="EJ5" s="46"/>
      <c r="EK5" s="46"/>
    </row>
    <row r="6" spans="1:141" s="17" customFormat="1" ht="13" customHeight="1">
      <c r="A6" s="35"/>
      <c r="B6" s="35" t="s">
        <v>181</v>
      </c>
      <c r="C6" s="44"/>
      <c r="D6" s="44"/>
      <c r="E6" s="44"/>
      <c r="F6" s="44"/>
      <c r="G6" s="44"/>
      <c r="H6" s="44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  <c r="AB6" s="44"/>
      <c r="AC6" s="44"/>
      <c r="AD6" s="44"/>
      <c r="AE6" s="44"/>
      <c r="AF6" s="44"/>
      <c r="AG6" s="44"/>
      <c r="AH6" s="44"/>
      <c r="AI6" s="44"/>
      <c r="AJ6" s="44"/>
      <c r="AK6" s="44"/>
      <c r="AL6" s="44"/>
      <c r="AM6" s="44"/>
      <c r="AN6" s="44"/>
      <c r="AO6" s="44"/>
      <c r="AR6" s="44">
        <f>4936-AR3</f>
        <v>137</v>
      </c>
      <c r="AS6" s="44">
        <f>4609-AS3</f>
        <v>164</v>
      </c>
      <c r="AT6" s="44">
        <v>199</v>
      </c>
      <c r="AU6" s="44">
        <v>212</v>
      </c>
      <c r="AV6" s="44">
        <v>257</v>
      </c>
      <c r="AW6" s="44">
        <v>278</v>
      </c>
      <c r="AX6" s="44">
        <v>246</v>
      </c>
      <c r="AY6" s="44">
        <v>337</v>
      </c>
      <c r="AZ6" s="44">
        <v>334</v>
      </c>
      <c r="BA6" s="44">
        <v>296</v>
      </c>
      <c r="BB6" s="44">
        <v>324</v>
      </c>
      <c r="BC6" s="44">
        <v>420</v>
      </c>
      <c r="BD6" s="44">
        <v>421</v>
      </c>
      <c r="BE6" s="44">
        <v>446</v>
      </c>
      <c r="BF6" s="44">
        <v>424</v>
      </c>
      <c r="BG6" s="44">
        <v>637</v>
      </c>
      <c r="BH6" s="44">
        <v>715</v>
      </c>
      <c r="BI6" s="44">
        <v>807</v>
      </c>
      <c r="BJ6" s="44">
        <v>730</v>
      </c>
      <c r="BK6" s="44">
        <v>971</v>
      </c>
      <c r="BL6" s="44">
        <v>986</v>
      </c>
      <c r="BM6" s="44">
        <v>864</v>
      </c>
      <c r="BN6" s="44">
        <v>909</v>
      </c>
      <c r="BO6" s="44"/>
      <c r="BP6" s="44"/>
      <c r="BQ6" s="44"/>
      <c r="BR6" s="44"/>
      <c r="BS6" s="45"/>
      <c r="BT6" s="44"/>
      <c r="BU6" s="44"/>
      <c r="BV6" s="44"/>
      <c r="BW6" s="44"/>
      <c r="BX6" s="44"/>
      <c r="BY6" s="44"/>
      <c r="BZ6" s="44"/>
      <c r="CA6" s="44"/>
      <c r="CB6" s="44"/>
      <c r="CC6" s="44"/>
      <c r="CD6" s="44"/>
      <c r="CE6" s="44"/>
      <c r="CF6" s="44"/>
      <c r="CG6" s="44"/>
      <c r="CH6" s="44"/>
      <c r="CI6" s="44"/>
      <c r="CJ6" s="44"/>
      <c r="CK6" s="44"/>
      <c r="CL6" s="46"/>
      <c r="CM6" s="46"/>
      <c r="CN6" s="46"/>
      <c r="CO6" s="46"/>
      <c r="CP6" s="46">
        <f t="shared" si="2"/>
        <v>1291</v>
      </c>
      <c r="CQ6" s="46">
        <f t="shared" si="3"/>
        <v>1711</v>
      </c>
      <c r="CR6" s="46">
        <f t="shared" si="4"/>
        <v>2889</v>
      </c>
      <c r="CS6" s="46">
        <f t="shared" si="5"/>
        <v>3730</v>
      </c>
      <c r="CT6" s="46">
        <f t="shared" si="1"/>
        <v>0</v>
      </c>
      <c r="CU6" s="46"/>
      <c r="CV6" s="46"/>
      <c r="CW6" s="46"/>
      <c r="CX6" s="46"/>
      <c r="CY6" s="46"/>
      <c r="CZ6" s="46"/>
      <c r="DA6" s="46"/>
      <c r="DB6" s="46"/>
      <c r="DC6" s="46"/>
      <c r="DD6" s="46"/>
      <c r="DE6" s="46"/>
      <c r="DF6" s="46"/>
      <c r="DG6" s="46"/>
      <c r="DH6" s="46"/>
      <c r="DI6" s="46"/>
      <c r="DJ6" s="46"/>
      <c r="DK6" s="46"/>
      <c r="DL6" s="46"/>
      <c r="DM6" s="46"/>
      <c r="DN6" s="46"/>
      <c r="DO6" s="46"/>
      <c r="DP6" s="46"/>
      <c r="DQ6" s="46"/>
      <c r="DR6" s="46"/>
      <c r="DS6" s="46"/>
      <c r="DT6" s="46"/>
      <c r="DU6" s="46"/>
      <c r="DV6" s="46"/>
      <c r="DW6" s="46"/>
      <c r="DX6" s="46"/>
      <c r="DY6" s="46"/>
      <c r="DZ6" s="46"/>
      <c r="EA6" s="46"/>
      <c r="EB6" s="46"/>
      <c r="EC6" s="46"/>
      <c r="ED6" s="46"/>
      <c r="EE6" s="46"/>
      <c r="EF6" s="46"/>
      <c r="EG6" s="46"/>
      <c r="EH6" s="46"/>
      <c r="EI6" s="46"/>
      <c r="EJ6" s="46"/>
      <c r="EK6" s="46"/>
    </row>
    <row r="7" spans="1:141" s="17" customFormat="1" ht="13" customHeight="1">
      <c r="A7" s="35"/>
      <c r="B7" s="35" t="s">
        <v>126</v>
      </c>
      <c r="C7" s="44"/>
      <c r="D7" s="44"/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  <c r="W7" s="44">
        <v>9</v>
      </c>
      <c r="X7" s="44">
        <v>24</v>
      </c>
      <c r="Y7" s="44">
        <v>42</v>
      </c>
      <c r="Z7" s="44">
        <v>68</v>
      </c>
      <c r="AA7" s="44">
        <v>80</v>
      </c>
      <c r="AB7" s="44">
        <v>141</v>
      </c>
      <c r="AC7" s="44"/>
      <c r="AD7" s="44"/>
      <c r="AE7" s="44">
        <v>271</v>
      </c>
      <c r="AF7" s="44">
        <v>330</v>
      </c>
      <c r="AG7" s="44">
        <v>376</v>
      </c>
      <c r="AH7" s="44">
        <v>461</v>
      </c>
      <c r="AI7" s="44">
        <v>626</v>
      </c>
      <c r="AJ7" s="44">
        <v>983</v>
      </c>
      <c r="AK7" s="44">
        <v>1143</v>
      </c>
      <c r="AL7" s="44">
        <v>1707</v>
      </c>
      <c r="AM7" s="44"/>
      <c r="AN7" s="44"/>
      <c r="AO7" s="44"/>
      <c r="AP7" s="44"/>
      <c r="AQ7" s="44"/>
      <c r="AR7" s="44">
        <v>1952</v>
      </c>
      <c r="AS7" s="44">
        <v>2156</v>
      </c>
      <c r="AT7" s="44">
        <v>2172</v>
      </c>
      <c r="AU7" s="44">
        <v>2147</v>
      </c>
      <c r="AV7" s="44">
        <v>2495</v>
      </c>
      <c r="AW7" s="44">
        <v>2306</v>
      </c>
      <c r="AX7" s="44">
        <v>2311</v>
      </c>
      <c r="AY7" s="44">
        <v>2460</v>
      </c>
      <c r="AZ7" s="44">
        <v>2158</v>
      </c>
      <c r="BA7" s="44">
        <v>2102</v>
      </c>
      <c r="BB7" s="44">
        <v>2248</v>
      </c>
      <c r="BC7" s="44">
        <v>2365</v>
      </c>
      <c r="BD7" s="44">
        <v>2192</v>
      </c>
      <c r="BE7" s="44">
        <v>2441</v>
      </c>
      <c r="BF7" s="44">
        <v>2731</v>
      </c>
      <c r="BG7" s="44">
        <v>2564</v>
      </c>
      <c r="BH7" s="44">
        <v>2269</v>
      </c>
      <c r="BI7" s="44">
        <v>2273</v>
      </c>
      <c r="BJ7" s="44">
        <v>2247</v>
      </c>
      <c r="BK7" s="44">
        <v>2179</v>
      </c>
      <c r="BL7" s="44">
        <v>1747</v>
      </c>
      <c r="BM7" s="44">
        <v>1910</v>
      </c>
      <c r="BN7" s="44">
        <v>1916</v>
      </c>
      <c r="BO7" s="44"/>
      <c r="BP7" s="44"/>
      <c r="BQ7" s="44"/>
      <c r="BR7" s="44"/>
      <c r="BS7" s="45"/>
      <c r="BT7" s="44"/>
      <c r="BU7" s="44"/>
      <c r="BV7" s="44"/>
      <c r="BW7" s="44"/>
      <c r="BX7" s="44"/>
      <c r="BY7" s="44"/>
      <c r="BZ7" s="44"/>
      <c r="CA7" s="44"/>
      <c r="CB7" s="44"/>
      <c r="CC7" s="44"/>
      <c r="CD7" s="44"/>
      <c r="CE7" s="44"/>
      <c r="CF7" s="44"/>
      <c r="CG7" s="44"/>
      <c r="CH7" s="44"/>
      <c r="CI7" s="44"/>
      <c r="CJ7" s="44"/>
      <c r="CK7" s="44"/>
      <c r="CL7" s="46"/>
      <c r="CM7" s="46"/>
      <c r="CN7" s="46"/>
      <c r="CO7" s="46"/>
      <c r="CP7" s="46">
        <f t="shared" si="2"/>
        <v>8968</v>
      </c>
      <c r="CQ7" s="46">
        <f t="shared" si="3"/>
        <v>9729</v>
      </c>
      <c r="CR7" s="46">
        <f t="shared" si="4"/>
        <v>9353</v>
      </c>
      <c r="CS7" s="46">
        <f t="shared" si="5"/>
        <v>7752</v>
      </c>
      <c r="CT7" s="46">
        <f t="shared" si="1"/>
        <v>0</v>
      </c>
      <c r="CU7" s="46"/>
      <c r="CV7" s="46"/>
      <c r="CW7" s="46"/>
      <c r="CX7" s="46"/>
      <c r="CY7" s="46"/>
      <c r="CZ7" s="46"/>
      <c r="DA7" s="46"/>
      <c r="DB7" s="46"/>
      <c r="DC7" s="46"/>
      <c r="DD7" s="46"/>
      <c r="DE7" s="46"/>
      <c r="DF7" s="46"/>
      <c r="DG7" s="46"/>
      <c r="DH7" s="46"/>
      <c r="DI7" s="46"/>
      <c r="DJ7" s="46"/>
      <c r="DK7" s="46"/>
      <c r="DL7" s="46"/>
      <c r="DM7" s="46"/>
      <c r="DN7" s="46"/>
      <c r="DO7" s="46"/>
      <c r="DP7" s="46"/>
      <c r="DQ7" s="46"/>
      <c r="DR7" s="46"/>
      <c r="DS7" s="46"/>
      <c r="DT7" s="46"/>
      <c r="DU7" s="46"/>
      <c r="DV7" s="46"/>
      <c r="DW7" s="46"/>
      <c r="DX7" s="46"/>
      <c r="DY7" s="46"/>
      <c r="DZ7" s="46"/>
      <c r="EA7" s="46"/>
      <c r="EB7" s="46"/>
      <c r="EC7" s="46"/>
      <c r="ED7" s="46"/>
      <c r="EE7" s="46"/>
      <c r="EF7" s="46"/>
      <c r="EG7" s="46"/>
      <c r="EH7" s="46"/>
      <c r="EI7" s="46"/>
      <c r="EJ7" s="46"/>
      <c r="EK7" s="46"/>
    </row>
    <row r="8" spans="1:141" s="17" customFormat="1" ht="13" customHeight="1">
      <c r="A8" s="35"/>
      <c r="B8" s="35" t="s">
        <v>127</v>
      </c>
      <c r="C8" s="44"/>
      <c r="D8" s="44"/>
      <c r="E8" s="44"/>
      <c r="F8" s="44"/>
      <c r="G8" s="44"/>
      <c r="H8" s="44"/>
      <c r="I8" s="44"/>
      <c r="J8" s="44"/>
      <c r="K8" s="44">
        <v>1517</v>
      </c>
      <c r="L8" s="44">
        <f>3277-K8</f>
        <v>1760</v>
      </c>
      <c r="M8" s="44">
        <f>5067-L8-K8</f>
        <v>1790</v>
      </c>
      <c r="N8" s="44">
        <f>6880-M8-L8-K8</f>
        <v>1813</v>
      </c>
      <c r="O8" s="44">
        <v>1775</v>
      </c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  <c r="AA8" s="44">
        <v>3118</v>
      </c>
      <c r="AB8" s="44">
        <f>6736-AA8</f>
        <v>3618</v>
      </c>
      <c r="AC8" s="44"/>
      <c r="AD8" s="44"/>
      <c r="AE8" s="44"/>
      <c r="AF8" s="44"/>
      <c r="AG8" s="44"/>
      <c r="AH8" s="44"/>
      <c r="AI8" s="44"/>
      <c r="AJ8" s="44"/>
      <c r="AK8" s="44"/>
      <c r="AL8" s="44"/>
      <c r="AM8" s="44"/>
      <c r="AN8" s="44"/>
      <c r="AO8" s="44"/>
      <c r="AP8" s="44"/>
      <c r="AQ8" s="44"/>
      <c r="AR8" s="44">
        <v>3023</v>
      </c>
      <c r="AS8" s="44">
        <v>2560</v>
      </c>
      <c r="AT8" s="44">
        <v>2832</v>
      </c>
      <c r="AU8" s="44">
        <v>2620</v>
      </c>
      <c r="AV8" s="44">
        <v>2342</v>
      </c>
      <c r="AW8" s="44">
        <v>2138</v>
      </c>
      <c r="AX8" s="44">
        <v>2207</v>
      </c>
      <c r="AY8" s="44">
        <v>2036</v>
      </c>
      <c r="AZ8" s="44">
        <v>1486</v>
      </c>
      <c r="BA8" s="44">
        <v>1342</v>
      </c>
      <c r="BB8" s="61">
        <v>2163</v>
      </c>
      <c r="BC8" s="44">
        <v>1776</v>
      </c>
      <c r="BD8" s="44">
        <v>1312</v>
      </c>
      <c r="BE8" s="44">
        <v>1317</v>
      </c>
      <c r="BF8" s="44">
        <v>1273</v>
      </c>
      <c r="BG8" s="44">
        <v>1515</v>
      </c>
      <c r="BH8" s="44">
        <v>1144</v>
      </c>
      <c r="BI8" s="44">
        <v>961</v>
      </c>
      <c r="BJ8" s="44">
        <v>959</v>
      </c>
      <c r="BK8" s="44">
        <v>1173</v>
      </c>
      <c r="BL8" s="44">
        <v>753</v>
      </c>
      <c r="BM8" s="44">
        <v>984</v>
      </c>
      <c r="BN8" s="44">
        <v>1024</v>
      </c>
      <c r="BO8" s="44"/>
      <c r="BP8" s="44"/>
      <c r="BQ8" s="44"/>
      <c r="BR8" s="44"/>
      <c r="BS8" s="45"/>
      <c r="BT8" s="44"/>
      <c r="BU8" s="44"/>
      <c r="BV8" s="44"/>
      <c r="BW8" s="44"/>
      <c r="BX8" s="44"/>
      <c r="BY8" s="44"/>
      <c r="BZ8" s="44"/>
      <c r="CA8" s="44"/>
      <c r="CB8" s="44"/>
      <c r="CC8" s="44"/>
      <c r="CD8" s="44"/>
      <c r="CE8" s="44"/>
      <c r="CF8" s="44"/>
      <c r="CG8" s="44"/>
      <c r="CH8" s="44"/>
      <c r="CI8" s="44"/>
      <c r="CJ8" s="44"/>
      <c r="CK8" s="44"/>
      <c r="CL8" s="46"/>
      <c r="CM8" s="46"/>
      <c r="CN8" s="46"/>
      <c r="CO8" s="46"/>
      <c r="CP8" s="46">
        <f t="shared" si="2"/>
        <v>7027</v>
      </c>
      <c r="CQ8" s="46">
        <f t="shared" si="3"/>
        <v>5678</v>
      </c>
      <c r="CR8" s="46">
        <f t="shared" si="4"/>
        <v>4579</v>
      </c>
      <c r="CS8" s="46">
        <f t="shared" si="5"/>
        <v>3934</v>
      </c>
      <c r="CT8" s="46">
        <f t="shared" si="1"/>
        <v>0</v>
      </c>
      <c r="CU8" s="46"/>
      <c r="CV8" s="46"/>
      <c r="CW8" s="46"/>
      <c r="CX8" s="46"/>
      <c r="CY8" s="46"/>
      <c r="CZ8" s="46"/>
      <c r="DA8" s="46"/>
      <c r="DB8" s="46"/>
      <c r="DC8" s="46"/>
      <c r="DD8" s="46"/>
      <c r="DE8" s="46"/>
      <c r="DF8" s="46"/>
      <c r="DG8" s="46"/>
      <c r="DH8" s="46"/>
      <c r="DI8" s="46"/>
      <c r="DJ8" s="46"/>
      <c r="DK8" s="46"/>
      <c r="DL8" s="46"/>
      <c r="DM8" s="46"/>
      <c r="DN8" s="46"/>
      <c r="DO8" s="46"/>
      <c r="DP8" s="46"/>
      <c r="DQ8" s="46"/>
      <c r="DR8" s="46"/>
      <c r="DS8" s="46"/>
      <c r="DT8" s="46"/>
      <c r="DU8" s="46"/>
      <c r="DV8" s="46"/>
      <c r="DW8" s="46"/>
      <c r="DX8" s="46"/>
      <c r="DY8" s="46"/>
      <c r="DZ8" s="46"/>
      <c r="EA8" s="46"/>
      <c r="EB8" s="46"/>
      <c r="EC8" s="46"/>
      <c r="ED8" s="46"/>
      <c r="EE8" s="46"/>
      <c r="EF8" s="46"/>
      <c r="EG8" s="46"/>
      <c r="EH8" s="46"/>
      <c r="EI8" s="46"/>
      <c r="EJ8" s="46"/>
      <c r="EK8" s="46"/>
    </row>
    <row r="9" spans="1:141" s="17" customFormat="1" ht="13" customHeight="1">
      <c r="A9" s="35"/>
      <c r="B9" s="35" t="s">
        <v>179</v>
      </c>
      <c r="C9" s="44"/>
      <c r="D9" s="44"/>
      <c r="E9" s="44"/>
      <c r="F9" s="44"/>
      <c r="G9" s="44"/>
      <c r="H9" s="44"/>
      <c r="I9" s="44"/>
      <c r="J9" s="44"/>
      <c r="K9" s="44"/>
      <c r="L9" s="44"/>
      <c r="M9" s="44"/>
      <c r="N9" s="44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  <c r="AA9" s="44"/>
      <c r="AB9" s="44"/>
      <c r="AC9" s="44"/>
      <c r="AD9" s="44"/>
      <c r="AE9" s="44"/>
      <c r="AF9" s="44"/>
      <c r="AG9" s="44"/>
      <c r="AH9" s="44"/>
      <c r="AI9" s="44"/>
      <c r="AJ9" s="44"/>
      <c r="AK9" s="44"/>
      <c r="AL9" s="44"/>
      <c r="AM9" s="44"/>
      <c r="AN9" s="44"/>
      <c r="AO9" s="44"/>
      <c r="AR9" s="44">
        <f>5357-AR7-AR8</f>
        <v>382</v>
      </c>
      <c r="AS9" s="44">
        <f>5158-AS7-AS8</f>
        <v>442</v>
      </c>
      <c r="AT9" s="44">
        <v>452</v>
      </c>
      <c r="AU9" s="44">
        <v>477</v>
      </c>
      <c r="AV9" s="44">
        <v>574</v>
      </c>
      <c r="AW9" s="44">
        <v>575</v>
      </c>
      <c r="AX9" s="44">
        <v>584</v>
      </c>
      <c r="AY9" s="44">
        <v>662</v>
      </c>
      <c r="AZ9" s="44">
        <v>576</v>
      </c>
      <c r="BA9" s="44">
        <v>604</v>
      </c>
      <c r="BB9" s="44">
        <v>602</v>
      </c>
      <c r="BC9" s="44">
        <v>681</v>
      </c>
      <c r="BD9" s="44">
        <v>645</v>
      </c>
      <c r="BE9" s="44">
        <v>658</v>
      </c>
      <c r="BF9" s="44">
        <v>673</v>
      </c>
      <c r="BG9" s="44">
        <v>717</v>
      </c>
      <c r="BH9" s="44">
        <v>691</v>
      </c>
      <c r="BI9" s="44">
        <v>705</v>
      </c>
      <c r="BJ9" s="44">
        <v>696</v>
      </c>
      <c r="BK9" s="44">
        <v>781</v>
      </c>
      <c r="BL9" s="44">
        <v>854</v>
      </c>
      <c r="BM9" s="44">
        <v>798</v>
      </c>
      <c r="BN9" s="44">
        <v>786</v>
      </c>
      <c r="BO9" s="44"/>
      <c r="BP9" s="44"/>
      <c r="BQ9" s="44"/>
      <c r="BR9" s="44"/>
      <c r="BS9" s="45"/>
      <c r="BT9" s="44"/>
      <c r="BU9" s="44"/>
      <c r="BV9" s="44"/>
      <c r="BW9" s="44"/>
      <c r="BX9" s="44"/>
      <c r="BY9" s="44"/>
      <c r="BZ9" s="44"/>
      <c r="CA9" s="44"/>
      <c r="CB9" s="44"/>
      <c r="CC9" s="44"/>
      <c r="CD9" s="44"/>
      <c r="CE9" s="44"/>
      <c r="CF9" s="44"/>
      <c r="CG9" s="44"/>
      <c r="CH9" s="44"/>
      <c r="CI9" s="44"/>
      <c r="CJ9" s="44"/>
      <c r="CK9" s="44"/>
      <c r="CL9" s="46"/>
      <c r="CM9" s="46"/>
      <c r="CN9" s="46"/>
      <c r="CO9" s="46"/>
      <c r="CP9" s="46">
        <f t="shared" si="2"/>
        <v>2444</v>
      </c>
      <c r="CQ9" s="46">
        <f t="shared" si="3"/>
        <v>2657</v>
      </c>
      <c r="CR9" s="46">
        <f t="shared" si="4"/>
        <v>2809</v>
      </c>
      <c r="CS9" s="46">
        <f t="shared" si="5"/>
        <v>3219</v>
      </c>
      <c r="CT9" s="46">
        <f t="shared" si="1"/>
        <v>0</v>
      </c>
      <c r="CU9" s="46"/>
      <c r="CV9" s="46"/>
      <c r="CW9" s="46"/>
      <c r="CX9" s="46"/>
      <c r="CY9" s="46"/>
      <c r="CZ9" s="46"/>
      <c r="DA9" s="46"/>
      <c r="DB9" s="46"/>
      <c r="DC9" s="46"/>
      <c r="DD9" s="46"/>
      <c r="DE9" s="46"/>
      <c r="DF9" s="46"/>
      <c r="DG9" s="46"/>
      <c r="DH9" s="46"/>
      <c r="DI9" s="46"/>
      <c r="DJ9" s="46"/>
      <c r="DK9" s="46"/>
      <c r="DL9" s="46"/>
      <c r="DM9" s="46"/>
      <c r="DN9" s="46"/>
      <c r="DO9" s="46"/>
      <c r="DP9" s="46"/>
      <c r="DQ9" s="46"/>
      <c r="DR9" s="46"/>
      <c r="DS9" s="46"/>
      <c r="DT9" s="46"/>
      <c r="DU9" s="46"/>
      <c r="DV9" s="46"/>
      <c r="DW9" s="46"/>
      <c r="DX9" s="46"/>
      <c r="DY9" s="46"/>
      <c r="DZ9" s="46"/>
      <c r="EA9" s="46"/>
      <c r="EB9" s="46"/>
      <c r="EC9" s="46"/>
      <c r="ED9" s="46"/>
      <c r="EE9" s="46"/>
      <c r="EF9" s="46"/>
      <c r="EG9" s="46"/>
      <c r="EH9" s="46"/>
      <c r="EI9" s="46"/>
      <c r="EJ9" s="46"/>
      <c r="EK9" s="46"/>
    </row>
    <row r="10" spans="1:141" s="17" customFormat="1" ht="13" customHeight="1">
      <c r="A10" s="35"/>
      <c r="B10" s="35" t="s">
        <v>128</v>
      </c>
      <c r="C10" s="45">
        <v>3821</v>
      </c>
      <c r="D10" s="45">
        <v>4103</v>
      </c>
      <c r="E10" s="45">
        <v>4365</v>
      </c>
      <c r="F10" s="45">
        <v>5028</v>
      </c>
      <c r="G10" s="44">
        <v>4990</v>
      </c>
      <c r="H10" s="44">
        <v>5414</v>
      </c>
      <c r="I10" s="44">
        <v>5353</v>
      </c>
      <c r="J10" s="44">
        <f>21471-I10-H10-G10</f>
        <v>5714</v>
      </c>
      <c r="K10" s="44">
        <f>SUM(K3:K8)</f>
        <v>5862</v>
      </c>
      <c r="L10" s="44">
        <f>SUM(L3:L8)</f>
        <v>6792</v>
      </c>
      <c r="M10" s="44">
        <f>SUM(M3:M8)</f>
        <v>6820</v>
      </c>
      <c r="N10" s="44">
        <f>SUM(N3:N8)</f>
        <v>7127</v>
      </c>
      <c r="O10" s="44">
        <f>SUM(O3:O8)</f>
        <v>6705</v>
      </c>
      <c r="P10" s="44">
        <f t="shared" ref="P10:AB10" si="6">SUM(P3:P8)</f>
        <v>0</v>
      </c>
      <c r="Q10" s="44">
        <f t="shared" si="6"/>
        <v>0</v>
      </c>
      <c r="R10" s="44">
        <f t="shared" si="6"/>
        <v>0</v>
      </c>
      <c r="S10" s="44">
        <f t="shared" si="6"/>
        <v>0</v>
      </c>
      <c r="T10" s="44">
        <f t="shared" si="6"/>
        <v>0</v>
      </c>
      <c r="U10" s="44">
        <f t="shared" si="6"/>
        <v>0</v>
      </c>
      <c r="V10" s="44">
        <f t="shared" si="6"/>
        <v>0</v>
      </c>
      <c r="W10" s="44">
        <f t="shared" si="6"/>
        <v>9</v>
      </c>
      <c r="X10" s="44">
        <f t="shared" si="6"/>
        <v>24</v>
      </c>
      <c r="Y10" s="44">
        <f t="shared" si="6"/>
        <v>42</v>
      </c>
      <c r="Z10" s="44">
        <f t="shared" si="6"/>
        <v>68</v>
      </c>
      <c r="AA10" s="44">
        <f t="shared" si="6"/>
        <v>9457</v>
      </c>
      <c r="AB10" s="44">
        <f t="shared" si="6"/>
        <v>10492</v>
      </c>
      <c r="AC10" s="46"/>
      <c r="AD10" s="44"/>
      <c r="AE10" s="44">
        <v>11498</v>
      </c>
      <c r="AF10" s="44">
        <v>12604</v>
      </c>
      <c r="AG10" s="44">
        <v>12500</v>
      </c>
      <c r="AH10" s="44">
        <v>13562</v>
      </c>
      <c r="AI10" s="44">
        <v>11715</v>
      </c>
      <c r="AJ10" s="44">
        <v>11806</v>
      </c>
      <c r="AK10" s="44">
        <v>11770</v>
      </c>
      <c r="AL10" s="44">
        <v>12219</v>
      </c>
      <c r="AM10" s="44"/>
      <c r="AN10" s="44"/>
      <c r="AO10" s="44"/>
      <c r="AP10" s="44"/>
      <c r="AQ10" s="44"/>
      <c r="AR10" s="44">
        <f>SUM(AR3:AR9)</f>
        <v>12880</v>
      </c>
      <c r="AS10" s="44">
        <f>SUM(AS3:AS9)</f>
        <v>12294</v>
      </c>
      <c r="AT10" s="44">
        <f t="shared" ref="AT10:AU10" si="7">SUM(AT3:AT9)</f>
        <v>12924</v>
      </c>
      <c r="AU10" s="44">
        <f t="shared" si="7"/>
        <v>12978</v>
      </c>
      <c r="AV10" s="44">
        <f t="shared" ref="AV10:BN10" si="8">SUM(AV3:AV9)</f>
        <v>12729</v>
      </c>
      <c r="AW10" s="44">
        <f t="shared" si="8"/>
        <v>12247</v>
      </c>
      <c r="AX10" s="44">
        <f t="shared" si="8"/>
        <v>12703</v>
      </c>
      <c r="AY10" s="44">
        <f t="shared" si="8"/>
        <v>13227</v>
      </c>
      <c r="AZ10" s="44">
        <f t="shared" si="8"/>
        <v>11292</v>
      </c>
      <c r="BA10" s="44">
        <f t="shared" si="8"/>
        <v>11209</v>
      </c>
      <c r="BB10" s="44">
        <f t="shared" si="8"/>
        <v>11949</v>
      </c>
      <c r="BC10" s="44">
        <f t="shared" si="8"/>
        <v>12331</v>
      </c>
      <c r="BD10" s="44">
        <f t="shared" si="8"/>
        <v>11116</v>
      </c>
      <c r="BE10" s="44">
        <f t="shared" si="8"/>
        <v>11619</v>
      </c>
      <c r="BF10" s="44">
        <f t="shared" si="8"/>
        <v>11888</v>
      </c>
      <c r="BG10" s="44">
        <f t="shared" si="8"/>
        <v>12650</v>
      </c>
      <c r="BH10" s="44">
        <f t="shared" si="8"/>
        <v>10492</v>
      </c>
      <c r="BI10" s="44">
        <f t="shared" si="8"/>
        <v>10908</v>
      </c>
      <c r="BJ10" s="44">
        <f t="shared" si="8"/>
        <v>10716</v>
      </c>
      <c r="BK10" s="44">
        <f t="shared" si="8"/>
        <v>11397</v>
      </c>
      <c r="BL10" s="44">
        <f t="shared" si="8"/>
        <v>9321</v>
      </c>
      <c r="BM10" s="44">
        <f t="shared" si="8"/>
        <v>9719</v>
      </c>
      <c r="BN10" s="44">
        <f t="shared" si="8"/>
        <v>9991</v>
      </c>
      <c r="BO10" s="44">
        <f>5165+2968+4487</f>
        <v>12620</v>
      </c>
      <c r="BP10" s="44"/>
      <c r="BQ10" s="44"/>
      <c r="BR10" s="44"/>
      <c r="BS10" s="45"/>
      <c r="BT10" s="44"/>
      <c r="BU10" s="44"/>
      <c r="BV10" s="44"/>
      <c r="BW10" s="44"/>
      <c r="BX10" s="44"/>
      <c r="BY10" s="44"/>
      <c r="BZ10" s="44"/>
      <c r="CA10" s="44"/>
      <c r="CB10" s="44"/>
      <c r="CC10" s="44"/>
      <c r="CD10" s="44">
        <f>SUM(C10:F10)</f>
        <v>17317</v>
      </c>
      <c r="CE10" s="44">
        <f t="shared" ref="CE10:CE11" si="9">SUM(G10:J10)</f>
        <v>21471</v>
      </c>
      <c r="CF10" s="44">
        <f t="shared" ref="CF10:CF11" si="10">SUM(K10:N10)</f>
        <v>26601</v>
      </c>
      <c r="CG10" s="44">
        <v>28765</v>
      </c>
      <c r="CH10" s="44">
        <v>34821</v>
      </c>
      <c r="CI10" s="44"/>
      <c r="CJ10" s="44"/>
      <c r="CK10" s="44"/>
      <c r="CL10" s="46"/>
      <c r="CM10" s="46"/>
      <c r="CN10" s="46"/>
      <c r="CO10" s="46"/>
      <c r="CP10" s="46">
        <f>SUM(CP3:CP9)</f>
        <v>47677</v>
      </c>
      <c r="CQ10" s="46">
        <f t="shared" ref="CQ10:CS10" si="11">SUM(CQ3:CQ9)</f>
        <v>46954</v>
      </c>
      <c r="CR10" s="46">
        <f t="shared" si="11"/>
        <v>44766</v>
      </c>
      <c r="CS10" s="46">
        <f t="shared" si="11"/>
        <v>40428</v>
      </c>
      <c r="CT10" s="46">
        <f t="shared" si="1"/>
        <v>12620</v>
      </c>
      <c r="CU10" s="46"/>
      <c r="CV10" s="46"/>
      <c r="CW10" s="46"/>
      <c r="CX10" s="46"/>
      <c r="CY10" s="46"/>
      <c r="CZ10" s="46"/>
      <c r="DA10" s="46"/>
      <c r="DB10" s="46"/>
      <c r="DC10" s="46"/>
      <c r="DD10" s="46"/>
      <c r="DE10" s="46"/>
      <c r="DF10" s="46"/>
      <c r="DG10" s="46"/>
      <c r="DH10" s="46"/>
      <c r="DI10" s="46"/>
      <c r="DJ10" s="46"/>
      <c r="DK10" s="46"/>
      <c r="DL10" s="46"/>
      <c r="DM10" s="46"/>
      <c r="DN10" s="46"/>
      <c r="DO10" s="46"/>
      <c r="DP10" s="46"/>
      <c r="DQ10" s="46"/>
      <c r="DR10" s="46"/>
      <c r="DS10" s="46"/>
      <c r="DT10" s="46"/>
      <c r="DU10" s="46"/>
      <c r="DV10" s="46"/>
      <c r="DW10" s="46"/>
      <c r="DX10" s="46"/>
      <c r="DY10" s="46"/>
      <c r="DZ10" s="46"/>
      <c r="EA10" s="46"/>
      <c r="EB10" s="46"/>
      <c r="EC10" s="46"/>
      <c r="ED10" s="46"/>
      <c r="EE10" s="46"/>
      <c r="EF10" s="46"/>
      <c r="EG10" s="46"/>
      <c r="EH10" s="46"/>
      <c r="EI10" s="46"/>
      <c r="EJ10" s="46"/>
      <c r="EK10" s="46"/>
    </row>
    <row r="11" spans="1:141" ht="13" customHeight="1">
      <c r="A11" s="41"/>
      <c r="B11" s="47" t="s">
        <v>129</v>
      </c>
      <c r="C11" s="45">
        <v>2939</v>
      </c>
      <c r="D11" s="45">
        <v>2966</v>
      </c>
      <c r="E11" s="45">
        <v>2806</v>
      </c>
      <c r="F11" s="45">
        <v>3093</v>
      </c>
      <c r="G11" s="44">
        <v>3004</v>
      </c>
      <c r="H11" s="44">
        <v>2879</v>
      </c>
      <c r="I11" s="44">
        <v>2747</v>
      </c>
      <c r="J11" s="44">
        <f>11315-I11-H11-G11</f>
        <v>2685</v>
      </c>
      <c r="K11" s="44">
        <v>2773</v>
      </c>
      <c r="L11" s="44">
        <v>3099</v>
      </c>
      <c r="M11" s="44">
        <v>2963</v>
      </c>
      <c r="N11" s="44">
        <v>2992</v>
      </c>
      <c r="O11" s="44">
        <v>2655</v>
      </c>
      <c r="P11" s="44"/>
      <c r="Q11" s="44"/>
      <c r="R11" s="44"/>
      <c r="S11" s="44"/>
      <c r="T11" s="44"/>
      <c r="U11" s="44"/>
      <c r="V11" s="44"/>
      <c r="W11" s="44">
        <v>2824</v>
      </c>
      <c r="X11" s="44">
        <v>2779</v>
      </c>
      <c r="Y11" s="44">
        <v>2572</v>
      </c>
      <c r="Z11" s="44">
        <v>2694</v>
      </c>
      <c r="AA11" s="44">
        <v>2573</v>
      </c>
      <c r="AB11" s="44">
        <f>5048-AA11</f>
        <v>2475</v>
      </c>
      <c r="AC11" s="44"/>
      <c r="AD11" s="44"/>
      <c r="AE11" s="44">
        <v>2897</v>
      </c>
      <c r="AF11" s="44">
        <v>2784</v>
      </c>
      <c r="AG11" s="44">
        <v>2772</v>
      </c>
      <c r="AH11" s="44">
        <v>2778</v>
      </c>
      <c r="AI11" s="44">
        <v>2725</v>
      </c>
      <c r="AJ11" s="44">
        <v>2667</v>
      </c>
      <c r="AK11" s="44">
        <v>2760</v>
      </c>
      <c r="AL11" s="44">
        <v>2938</v>
      </c>
      <c r="AM11" s="44"/>
      <c r="AN11" s="44"/>
      <c r="AO11" s="44"/>
      <c r="AP11" s="44"/>
      <c r="AQ11" s="44"/>
      <c r="AR11" s="44">
        <v>2335</v>
      </c>
      <c r="AS11" s="44">
        <v>2386</v>
      </c>
      <c r="AT11" s="44">
        <v>2178</v>
      </c>
      <c r="AU11" s="44">
        <v>2415</v>
      </c>
      <c r="AV11" s="44">
        <v>2180</v>
      </c>
      <c r="AW11" s="44">
        <v>2237</v>
      </c>
      <c r="AX11" s="44">
        <v>2204</v>
      </c>
      <c r="AY11" s="44">
        <v>2687</v>
      </c>
      <c r="AZ11" s="44">
        <v>2314</v>
      </c>
      <c r="BA11" s="44">
        <v>2194</v>
      </c>
      <c r="BB11" s="44">
        <v>1678</v>
      </c>
      <c r="BC11" s="44">
        <v>2535</v>
      </c>
      <c r="BD11" s="44">
        <v>2041</v>
      </c>
      <c r="BE11" s="44">
        <v>2391</v>
      </c>
      <c r="BF11" s="44">
        <v>2085</v>
      </c>
      <c r="BG11" s="44">
        <v>2312</v>
      </c>
      <c r="BH11" s="44">
        <v>1851</v>
      </c>
      <c r="BI11" s="44">
        <v>2053</v>
      </c>
      <c r="BJ11" s="44">
        <v>1970</v>
      </c>
      <c r="BK11" s="44">
        <v>2012</v>
      </c>
      <c r="BL11" s="44">
        <v>1967</v>
      </c>
      <c r="BM11" s="44">
        <v>1626</v>
      </c>
      <c r="BN11" s="44">
        <v>1989</v>
      </c>
      <c r="BO11" s="44">
        <v>1745</v>
      </c>
      <c r="BP11" s="44"/>
      <c r="BQ11" s="44"/>
      <c r="BR11" s="44"/>
      <c r="BS11" s="43"/>
      <c r="BT11" s="42"/>
      <c r="BU11" s="42"/>
      <c r="BV11" s="42"/>
      <c r="BW11" s="42"/>
      <c r="BX11" s="42"/>
      <c r="BY11" s="42"/>
      <c r="BZ11" s="42"/>
      <c r="CA11" s="42"/>
      <c r="CB11" s="42"/>
      <c r="CC11" s="42"/>
      <c r="CD11" s="44">
        <f t="shared" ref="CD11:CD30" si="12">SUM(C11:F11)</f>
        <v>11804</v>
      </c>
      <c r="CE11" s="44">
        <f t="shared" si="9"/>
        <v>11315</v>
      </c>
      <c r="CF11" s="44">
        <f t="shared" si="10"/>
        <v>11827</v>
      </c>
      <c r="CG11" s="44">
        <v>10785</v>
      </c>
      <c r="CH11" s="44">
        <v>11302</v>
      </c>
      <c r="CI11" s="42"/>
      <c r="CJ11" s="42"/>
      <c r="CK11" s="42"/>
      <c r="CL11" s="40"/>
      <c r="CM11" s="46"/>
      <c r="CN11" s="46"/>
      <c r="CO11" s="46"/>
      <c r="CP11" s="46">
        <f t="shared" ref="CP11" si="13">SUM(AY11:BB11)</f>
        <v>8873</v>
      </c>
      <c r="CQ11" s="46">
        <f t="shared" ref="CQ11" si="14">SUM(BC11:BF11)</f>
        <v>9052</v>
      </c>
      <c r="CR11" s="46">
        <f t="shared" ref="CR11" si="15">SUM(BG11:BJ11)</f>
        <v>8186</v>
      </c>
      <c r="CS11" s="46">
        <f t="shared" ref="CS11" si="16">SUM(BK11:BN11)</f>
        <v>7594</v>
      </c>
      <c r="CT11" s="46">
        <f t="shared" si="1"/>
        <v>1745</v>
      </c>
      <c r="CU11" s="46"/>
      <c r="CV11" s="46"/>
      <c r="CW11" s="46"/>
      <c r="CX11" s="46"/>
      <c r="CY11" s="46"/>
      <c r="CZ11" s="46"/>
      <c r="DA11" s="40"/>
      <c r="DB11" s="40"/>
      <c r="DC11" s="40"/>
      <c r="DD11" s="40"/>
      <c r="DE11" s="40"/>
      <c r="DF11" s="40"/>
      <c r="DG11" s="40"/>
      <c r="DH11" s="40"/>
      <c r="DI11" s="40"/>
      <c r="DJ11" s="40"/>
      <c r="DK11" s="40"/>
      <c r="DL11" s="40"/>
      <c r="DM11" s="40"/>
      <c r="DN11" s="40"/>
      <c r="DO11" s="40"/>
      <c r="DP11" s="40"/>
      <c r="DQ11" s="40"/>
      <c r="DR11" s="40"/>
      <c r="DS11" s="40"/>
      <c r="DT11" s="40"/>
      <c r="DU11" s="40"/>
      <c r="DV11" s="40"/>
      <c r="DW11" s="40"/>
      <c r="DX11" s="40"/>
      <c r="DY11" s="40"/>
      <c r="DZ11" s="40"/>
      <c r="EA11" s="40"/>
      <c r="EB11" s="40"/>
      <c r="EC11" s="40"/>
      <c r="ED11" s="40"/>
      <c r="EE11" s="40"/>
      <c r="EF11" s="40"/>
      <c r="EG11" s="40"/>
      <c r="EH11" s="40"/>
      <c r="EI11" s="40"/>
      <c r="EJ11" s="40"/>
      <c r="EK11" s="40"/>
    </row>
    <row r="12" spans="1:141" ht="13" customHeight="1">
      <c r="A12" s="41"/>
      <c r="B12" s="47" t="s">
        <v>190</v>
      </c>
      <c r="C12" s="45"/>
      <c r="D12" s="45"/>
      <c r="E12" s="45"/>
      <c r="F12" s="45"/>
      <c r="G12" s="44"/>
      <c r="H12" s="44"/>
      <c r="I12" s="44"/>
      <c r="J12" s="44"/>
      <c r="K12" s="44"/>
      <c r="L12" s="44"/>
      <c r="M12" s="44"/>
      <c r="N12" s="44"/>
      <c r="O12" s="44"/>
      <c r="P12" s="44"/>
      <c r="Q12" s="44"/>
      <c r="R12" s="44"/>
      <c r="S12" s="44"/>
      <c r="T12" s="44"/>
      <c r="U12" s="44"/>
      <c r="V12" s="44"/>
      <c r="W12" s="44"/>
      <c r="X12" s="44"/>
      <c r="Y12" s="44"/>
      <c r="Z12" s="44"/>
      <c r="AA12" s="44"/>
      <c r="AB12" s="44"/>
      <c r="AC12" s="44"/>
      <c r="AD12" s="44"/>
      <c r="AE12" s="44"/>
      <c r="AF12" s="44"/>
      <c r="AG12" s="44"/>
      <c r="AH12" s="44"/>
      <c r="AI12" s="44"/>
      <c r="AJ12" s="44"/>
      <c r="AK12" s="44"/>
      <c r="AL12" s="44"/>
      <c r="AM12" s="44"/>
      <c r="AN12" s="44"/>
      <c r="AO12" s="44"/>
      <c r="AP12" s="44"/>
      <c r="AQ12" s="44"/>
      <c r="AR12" s="44">
        <f t="shared" ref="AR12" si="17">+AR11+AR10</f>
        <v>15215</v>
      </c>
      <c r="AS12" s="44">
        <f t="shared" ref="AS12:AU12" si="18">+AS11+AS10</f>
        <v>14680</v>
      </c>
      <c r="AT12" s="44">
        <f t="shared" si="18"/>
        <v>15102</v>
      </c>
      <c r="AU12" s="44">
        <f t="shared" si="18"/>
        <v>15393</v>
      </c>
      <c r="AV12" s="44">
        <f t="shared" ref="AV12:BE12" si="19">+AV11+AV10</f>
        <v>14909</v>
      </c>
      <c r="AW12" s="44">
        <f t="shared" si="19"/>
        <v>14484</v>
      </c>
      <c r="AX12" s="44">
        <f t="shared" si="19"/>
        <v>14907</v>
      </c>
      <c r="AY12" s="44">
        <f t="shared" si="19"/>
        <v>15914</v>
      </c>
      <c r="AZ12" s="44">
        <f t="shared" si="19"/>
        <v>13606</v>
      </c>
      <c r="BA12" s="44">
        <f t="shared" si="19"/>
        <v>13403</v>
      </c>
      <c r="BB12" s="44">
        <f t="shared" si="19"/>
        <v>13627</v>
      </c>
      <c r="BC12" s="44">
        <f t="shared" si="19"/>
        <v>14866</v>
      </c>
      <c r="BD12" s="44">
        <f t="shared" si="19"/>
        <v>13157</v>
      </c>
      <c r="BE12" s="44">
        <f t="shared" si="19"/>
        <v>14010</v>
      </c>
      <c r="BF12" s="44">
        <f t="shared" ref="BF12:BK12" si="20">+BF11+BF10</f>
        <v>13973</v>
      </c>
      <c r="BG12" s="44">
        <f t="shared" si="20"/>
        <v>14962</v>
      </c>
      <c r="BH12" s="44">
        <f t="shared" si="20"/>
        <v>12343</v>
      </c>
      <c r="BI12" s="44">
        <f t="shared" si="20"/>
        <v>12961</v>
      </c>
      <c r="BJ12" s="44">
        <f t="shared" si="20"/>
        <v>12686</v>
      </c>
      <c r="BK12" s="44">
        <f t="shared" si="20"/>
        <v>13409</v>
      </c>
      <c r="BL12" s="44">
        <f t="shared" ref="BL12:BN12" si="21">+BL11+BL10</f>
        <v>11288</v>
      </c>
      <c r="BM12" s="44">
        <f t="shared" si="21"/>
        <v>11345</v>
      </c>
      <c r="BN12" s="44">
        <f t="shared" si="21"/>
        <v>11980</v>
      </c>
      <c r="BO12" s="44">
        <f>+BO10+BO11</f>
        <v>14365</v>
      </c>
      <c r="BP12" s="44"/>
      <c r="BQ12" s="44"/>
      <c r="BR12" s="44"/>
      <c r="BS12" s="43"/>
      <c r="BT12" s="42"/>
      <c r="BU12" s="42"/>
      <c r="BV12" s="42"/>
      <c r="BW12" s="42"/>
      <c r="BX12" s="42"/>
      <c r="BY12" s="42"/>
      <c r="BZ12" s="42"/>
      <c r="CA12" s="42"/>
      <c r="CB12" s="42"/>
      <c r="CC12" s="42"/>
      <c r="CD12" s="44"/>
      <c r="CE12" s="44"/>
      <c r="CF12" s="44"/>
      <c r="CG12" s="42"/>
      <c r="CH12" s="42"/>
      <c r="CI12" s="42"/>
      <c r="CJ12" s="42"/>
      <c r="CK12" s="42"/>
      <c r="CL12" s="40"/>
      <c r="CM12" s="46"/>
      <c r="CN12" s="46"/>
      <c r="CO12" s="46"/>
      <c r="CP12" s="46">
        <f>CP11+CP10</f>
        <v>56550</v>
      </c>
      <c r="CQ12" s="46">
        <f>CQ11+CQ10</f>
        <v>56006</v>
      </c>
      <c r="CR12" s="46">
        <f>CR11+CR10</f>
        <v>52952</v>
      </c>
      <c r="CS12" s="46">
        <f>CS11+CS10</f>
        <v>48022</v>
      </c>
      <c r="CT12" s="46">
        <f>CT11+CT10</f>
        <v>14365</v>
      </c>
      <c r="CU12" s="46"/>
      <c r="CV12" s="46"/>
      <c r="CW12" s="46"/>
      <c r="CX12" s="46"/>
      <c r="CY12" s="46"/>
      <c r="CZ12" s="46"/>
      <c r="DA12" s="40"/>
      <c r="DB12" s="40"/>
      <c r="DC12" s="40"/>
      <c r="DD12" s="40"/>
      <c r="DE12" s="40"/>
      <c r="DF12" s="40"/>
      <c r="DG12" s="40"/>
      <c r="DH12" s="40"/>
      <c r="DI12" s="40"/>
      <c r="DJ12" s="40"/>
      <c r="DK12" s="40"/>
      <c r="DL12" s="40"/>
      <c r="DM12" s="40"/>
      <c r="DN12" s="40"/>
      <c r="DO12" s="40"/>
      <c r="DP12" s="40"/>
      <c r="DQ12" s="40"/>
      <c r="DR12" s="40"/>
      <c r="DS12" s="40"/>
      <c r="DT12" s="40"/>
      <c r="DU12" s="40"/>
      <c r="DV12" s="40"/>
      <c r="DW12" s="40"/>
      <c r="DX12" s="40"/>
      <c r="DY12" s="40"/>
      <c r="DZ12" s="40"/>
      <c r="EA12" s="40"/>
      <c r="EB12" s="40"/>
      <c r="EC12" s="40"/>
      <c r="ED12" s="40"/>
      <c r="EE12" s="40"/>
      <c r="EF12" s="40"/>
      <c r="EG12" s="40"/>
      <c r="EH12" s="40"/>
      <c r="EI12" s="40"/>
      <c r="EJ12" s="40"/>
      <c r="EK12" s="40"/>
    </row>
    <row r="13" spans="1:141" ht="13" customHeight="1">
      <c r="A13" s="41"/>
      <c r="B13" s="47"/>
      <c r="C13" s="45"/>
      <c r="D13" s="45"/>
      <c r="E13" s="45"/>
      <c r="F13" s="45"/>
      <c r="G13" s="44"/>
      <c r="H13" s="44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  <c r="AA13" s="44"/>
      <c r="AB13" s="44"/>
      <c r="AC13" s="44"/>
      <c r="AD13" s="44"/>
      <c r="AE13" s="44"/>
      <c r="AF13" s="44"/>
      <c r="AG13" s="44"/>
      <c r="AH13" s="44"/>
      <c r="AI13" s="44"/>
      <c r="AJ13" s="44"/>
      <c r="AK13" s="44"/>
      <c r="AL13" s="44"/>
      <c r="AM13" s="44"/>
      <c r="AN13" s="44"/>
      <c r="AO13" s="44"/>
      <c r="AP13" s="44"/>
      <c r="AQ13" s="44"/>
      <c r="AR13" s="44"/>
      <c r="AS13" s="44"/>
      <c r="AT13" s="44"/>
      <c r="AU13" s="44"/>
      <c r="AV13" s="44"/>
      <c r="AW13" s="44"/>
      <c r="AX13" s="44"/>
      <c r="AY13" s="44"/>
      <c r="AZ13" s="44"/>
      <c r="BA13" s="44"/>
      <c r="BB13" s="44"/>
      <c r="BC13" s="44"/>
      <c r="BD13" s="44"/>
      <c r="BE13" s="44"/>
      <c r="BF13" s="44"/>
      <c r="BG13" s="44"/>
      <c r="BH13" s="44"/>
      <c r="BI13" s="44"/>
      <c r="BJ13" s="44"/>
      <c r="BK13" s="44"/>
      <c r="BL13" s="44"/>
      <c r="BM13" s="44"/>
      <c r="BN13" s="44"/>
      <c r="BO13" s="44"/>
      <c r="BP13" s="44"/>
      <c r="BQ13" s="44"/>
      <c r="BR13" s="44"/>
      <c r="BS13" s="43"/>
      <c r="BT13" s="42"/>
      <c r="BU13" s="42"/>
      <c r="BV13" s="42"/>
      <c r="BW13" s="42"/>
      <c r="BX13" s="42"/>
      <c r="BY13" s="42"/>
      <c r="BZ13" s="42"/>
      <c r="CA13" s="42"/>
      <c r="CB13" s="42"/>
      <c r="CC13" s="42"/>
      <c r="CD13" s="44"/>
      <c r="CE13" s="44"/>
      <c r="CF13" s="44"/>
      <c r="CG13" s="42"/>
      <c r="CH13" s="42"/>
      <c r="CI13" s="42"/>
      <c r="CJ13" s="42"/>
      <c r="CK13" s="42"/>
      <c r="CL13" s="40"/>
      <c r="CM13" s="46"/>
      <c r="CN13" s="46"/>
      <c r="CO13" s="46"/>
      <c r="CP13" s="46"/>
      <c r="CQ13" s="46"/>
      <c r="CR13" s="46"/>
      <c r="CS13" s="46"/>
      <c r="CT13" s="46"/>
      <c r="CU13" s="46"/>
      <c r="CV13" s="46"/>
      <c r="CW13" s="46"/>
      <c r="CX13" s="46"/>
      <c r="CY13" s="46"/>
      <c r="CZ13" s="46"/>
      <c r="DA13" s="40"/>
      <c r="DB13" s="40"/>
      <c r="DC13" s="40"/>
      <c r="DD13" s="40"/>
      <c r="DE13" s="40"/>
      <c r="DF13" s="40"/>
      <c r="DG13" s="40"/>
      <c r="DH13" s="40"/>
      <c r="DI13" s="40"/>
      <c r="DJ13" s="40"/>
      <c r="DK13" s="40"/>
      <c r="DL13" s="40"/>
      <c r="DM13" s="40"/>
      <c r="DN13" s="40"/>
      <c r="DO13" s="40"/>
      <c r="DP13" s="40"/>
      <c r="DQ13" s="40"/>
      <c r="DR13" s="40"/>
      <c r="DS13" s="40"/>
      <c r="DT13" s="40"/>
      <c r="DU13" s="40"/>
      <c r="DV13" s="40"/>
      <c r="DW13" s="40"/>
      <c r="DX13" s="40"/>
      <c r="DY13" s="40"/>
      <c r="DZ13" s="40"/>
      <c r="EA13" s="40"/>
      <c r="EB13" s="40"/>
      <c r="EC13" s="40"/>
      <c r="ED13" s="40"/>
      <c r="EE13" s="40"/>
      <c r="EF13" s="40"/>
      <c r="EG13" s="40"/>
      <c r="EH13" s="40"/>
      <c r="EI13" s="40"/>
      <c r="EJ13" s="40"/>
      <c r="EK13" s="40"/>
    </row>
    <row r="14" spans="1:141" ht="13" customHeight="1">
      <c r="A14" s="41"/>
      <c r="B14" s="47" t="s">
        <v>130</v>
      </c>
      <c r="C14" s="45"/>
      <c r="D14" s="45"/>
      <c r="E14" s="45"/>
      <c r="F14" s="45"/>
      <c r="G14" s="44"/>
      <c r="H14" s="44"/>
      <c r="I14" s="44">
        <v>28</v>
      </c>
      <c r="J14" s="44">
        <v>59</v>
      </c>
      <c r="K14" s="44">
        <v>370</v>
      </c>
      <c r="L14" s="44">
        <v>296</v>
      </c>
      <c r="M14" s="44">
        <v>700</v>
      </c>
      <c r="N14" s="44">
        <v>951</v>
      </c>
      <c r="O14" s="44">
        <v>1098</v>
      </c>
      <c r="P14" s="44"/>
      <c r="Q14" s="44"/>
      <c r="R14" s="44"/>
      <c r="S14" s="44"/>
      <c r="T14" s="44"/>
      <c r="U14" s="44"/>
      <c r="V14" s="44"/>
      <c r="W14" s="44">
        <v>2678</v>
      </c>
      <c r="X14" s="44">
        <v>2877</v>
      </c>
      <c r="Y14" s="44">
        <v>2847</v>
      </c>
      <c r="Z14" s="44">
        <v>3231</v>
      </c>
      <c r="AA14" s="44">
        <v>2916</v>
      </c>
      <c r="AB14" s="44">
        <f>5975-AA14</f>
        <v>3059</v>
      </c>
      <c r="AC14" s="44"/>
      <c r="AD14" s="44"/>
      <c r="AE14" s="44">
        <v>3957</v>
      </c>
      <c r="AF14" s="44">
        <v>4486</v>
      </c>
      <c r="AG14" s="44">
        <v>4680</v>
      </c>
      <c r="AH14" s="44">
        <v>4904</v>
      </c>
      <c r="AI14" s="44">
        <v>4591</v>
      </c>
      <c r="AJ14" s="44">
        <v>4952</v>
      </c>
      <c r="AK14" s="44">
        <v>5106</v>
      </c>
      <c r="AL14" s="44">
        <v>5397</v>
      </c>
      <c r="AM14" s="44"/>
      <c r="AN14" s="44"/>
      <c r="AO14" s="44"/>
      <c r="AP14" s="44"/>
      <c r="AQ14" s="44"/>
      <c r="AR14" s="44">
        <v>5729</v>
      </c>
      <c r="AS14" s="44">
        <v>6115</v>
      </c>
      <c r="AT14" s="44">
        <v>6500</v>
      </c>
      <c r="AU14" s="44">
        <v>5722</v>
      </c>
      <c r="AV14" s="44">
        <v>5415</v>
      </c>
      <c r="AW14" s="44">
        <v>5370</v>
      </c>
      <c r="AX14" s="44">
        <v>5427</v>
      </c>
      <c r="AY14" s="44">
        <v>4991</v>
      </c>
      <c r="AZ14" s="44">
        <v>4234</v>
      </c>
      <c r="BA14" s="44">
        <v>4765</v>
      </c>
      <c r="BB14" s="44">
        <v>4757</v>
      </c>
      <c r="BC14" s="44">
        <v>3909</v>
      </c>
      <c r="BD14" s="44">
        <v>3697</v>
      </c>
      <c r="BE14" s="44">
        <v>3615</v>
      </c>
      <c r="BF14" s="44">
        <v>3833</v>
      </c>
      <c r="BG14" s="44">
        <v>3322</v>
      </c>
      <c r="BH14" s="44">
        <v>2710</v>
      </c>
      <c r="BI14" s="44">
        <v>2967</v>
      </c>
      <c r="BJ14" s="44">
        <v>3323</v>
      </c>
      <c r="BK14" s="44">
        <v>2815</v>
      </c>
      <c r="BL14" s="44">
        <v>1836</v>
      </c>
      <c r="BM14" s="44">
        <v>2227</v>
      </c>
      <c r="BN14" s="44">
        <v>1786</v>
      </c>
      <c r="BO14" s="44">
        <v>2159</v>
      </c>
      <c r="BP14" s="44"/>
      <c r="BQ14" s="44"/>
      <c r="BR14" s="44"/>
      <c r="BS14" s="43"/>
      <c r="BT14" s="42"/>
      <c r="BU14" s="42"/>
      <c r="BV14" s="42"/>
      <c r="BW14" s="42"/>
      <c r="BX14" s="42"/>
      <c r="BY14" s="42"/>
      <c r="BZ14" s="42"/>
      <c r="CA14" s="42"/>
      <c r="CB14" s="42"/>
      <c r="CC14" s="42"/>
      <c r="CD14" s="44">
        <v>0</v>
      </c>
      <c r="CE14" s="44">
        <f>SUM(G14:J14)</f>
        <v>87</v>
      </c>
      <c r="CF14" s="44">
        <f>SUM(K14:N14)</f>
        <v>2317</v>
      </c>
      <c r="CG14" s="44">
        <v>5991</v>
      </c>
      <c r="CH14" s="44">
        <v>9495</v>
      </c>
      <c r="CI14" s="42"/>
      <c r="CJ14" s="42"/>
      <c r="CK14" s="42"/>
      <c r="CL14" s="40"/>
      <c r="CM14" s="46"/>
      <c r="CN14" s="46"/>
      <c r="CO14" s="46"/>
      <c r="CP14" s="46">
        <f t="shared" ref="CP14:CP19" si="22">SUM(AY14:BB14)</f>
        <v>18747</v>
      </c>
      <c r="CQ14" s="46">
        <f t="shared" ref="CQ14:CQ19" si="23">SUM(BC14:BF14)</f>
        <v>15054</v>
      </c>
      <c r="CR14" s="46">
        <f t="shared" ref="CR14:CR19" si="24">SUM(BG14:BJ14)</f>
        <v>12322</v>
      </c>
      <c r="CS14" s="46">
        <f t="shared" ref="CS14:CS19" si="25">SUM(BK14:BN14)</f>
        <v>8664</v>
      </c>
      <c r="CT14" s="46">
        <f t="shared" ref="CT14:CT30" si="26">SUM(BO14:BR14)</f>
        <v>2159</v>
      </c>
      <c r="CU14" s="46"/>
      <c r="CV14" s="46"/>
      <c r="CW14" s="46"/>
      <c r="CX14" s="46"/>
      <c r="CY14" s="46"/>
      <c r="CZ14" s="46"/>
      <c r="DA14" s="40"/>
      <c r="DB14" s="40"/>
      <c r="DC14" s="40"/>
      <c r="DD14" s="40"/>
      <c r="DE14" s="40"/>
      <c r="DF14" s="40"/>
      <c r="DG14" s="40"/>
      <c r="DH14" s="40"/>
      <c r="DI14" s="40"/>
      <c r="DJ14" s="40"/>
      <c r="DK14" s="40"/>
      <c r="DL14" s="40"/>
      <c r="DM14" s="40"/>
      <c r="DN14" s="40"/>
      <c r="DO14" s="40"/>
      <c r="DP14" s="40"/>
      <c r="DQ14" s="40"/>
      <c r="DR14" s="40"/>
      <c r="DS14" s="40"/>
      <c r="DT14" s="40"/>
      <c r="DU14" s="40"/>
      <c r="DV14" s="40"/>
      <c r="DW14" s="40"/>
      <c r="DX14" s="40"/>
      <c r="DY14" s="40"/>
      <c r="DZ14" s="40"/>
      <c r="EA14" s="40"/>
      <c r="EB14" s="40"/>
      <c r="EC14" s="40"/>
      <c r="ED14" s="40"/>
      <c r="EE14" s="40"/>
      <c r="EF14" s="40"/>
      <c r="EG14" s="40"/>
      <c r="EH14" s="40"/>
      <c r="EI14" s="40"/>
      <c r="EJ14" s="40"/>
      <c r="EK14" s="40"/>
    </row>
    <row r="15" spans="1:141" ht="13" customHeight="1">
      <c r="A15" s="41"/>
      <c r="B15" s="47" t="s">
        <v>177</v>
      </c>
      <c r="C15" s="45"/>
      <c r="D15" s="45"/>
      <c r="E15" s="45"/>
      <c r="F15" s="45"/>
      <c r="G15" s="44"/>
      <c r="H15" s="44"/>
      <c r="I15" s="44"/>
      <c r="J15" s="44"/>
      <c r="K15" s="44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  <c r="AA15" s="44"/>
      <c r="AB15" s="44"/>
      <c r="AC15" s="44"/>
      <c r="AD15" s="44"/>
      <c r="AE15" s="44"/>
      <c r="AF15" s="44"/>
      <c r="AG15" s="44"/>
      <c r="AH15" s="44"/>
      <c r="AI15" s="44"/>
      <c r="AJ15" s="44"/>
      <c r="AK15" s="44"/>
      <c r="AL15" s="44"/>
      <c r="AM15" s="44"/>
      <c r="AN15" s="44"/>
      <c r="AO15" s="44"/>
      <c r="AP15" s="44"/>
      <c r="AQ15" s="44"/>
      <c r="AR15" s="44">
        <v>0</v>
      </c>
      <c r="AS15" s="44">
        <v>0</v>
      </c>
      <c r="AT15" s="44">
        <v>0</v>
      </c>
      <c r="AU15" s="44">
        <v>0</v>
      </c>
      <c r="AV15" s="44">
        <v>0</v>
      </c>
      <c r="AW15" s="44">
        <v>0</v>
      </c>
      <c r="AX15" s="44">
        <v>50</v>
      </c>
      <c r="AY15" s="44">
        <v>229</v>
      </c>
      <c r="AZ15" s="44">
        <v>355</v>
      </c>
      <c r="BA15" s="44">
        <v>454</v>
      </c>
      <c r="BB15" s="44">
        <v>835</v>
      </c>
      <c r="BC15" s="44">
        <v>729</v>
      </c>
      <c r="BD15" s="44">
        <v>945</v>
      </c>
      <c r="BE15" s="44">
        <v>1341</v>
      </c>
      <c r="BF15" s="44">
        <v>1823</v>
      </c>
      <c r="BG15" s="44">
        <v>2063</v>
      </c>
      <c r="BH15" s="44">
        <v>2172</v>
      </c>
      <c r="BI15" s="44">
        <v>3011</v>
      </c>
      <c r="BJ15" s="44">
        <v>4053</v>
      </c>
      <c r="BK15" s="44">
        <v>4356</v>
      </c>
      <c r="BL15" s="44">
        <v>3988</v>
      </c>
      <c r="BM15" s="44">
        <v>4496</v>
      </c>
      <c r="BN15" s="44">
        <v>5910</v>
      </c>
      <c r="BO15" s="44">
        <v>5013</v>
      </c>
      <c r="BP15" s="44"/>
      <c r="BQ15" s="44"/>
      <c r="BR15" s="44"/>
      <c r="BS15" s="43"/>
      <c r="BT15" s="42"/>
      <c r="BU15" s="42"/>
      <c r="BV15" s="42"/>
      <c r="BW15" s="42"/>
      <c r="BX15" s="42"/>
      <c r="BY15" s="42"/>
      <c r="BZ15" s="42"/>
      <c r="CA15" s="42"/>
      <c r="CB15" s="42"/>
      <c r="CC15" s="42"/>
      <c r="CD15" s="44"/>
      <c r="CE15" s="44"/>
      <c r="CF15" s="44"/>
      <c r="CG15" s="42"/>
      <c r="CH15" s="42"/>
      <c r="CI15" s="42"/>
      <c r="CJ15" s="42"/>
      <c r="CK15" s="42"/>
      <c r="CL15" s="40"/>
      <c r="CM15" s="46"/>
      <c r="CN15" s="46"/>
      <c r="CO15" s="46"/>
      <c r="CP15" s="46">
        <f t="shared" si="22"/>
        <v>1873</v>
      </c>
      <c r="CQ15" s="46">
        <f t="shared" si="23"/>
        <v>4838</v>
      </c>
      <c r="CR15" s="46">
        <f t="shared" si="24"/>
        <v>11299</v>
      </c>
      <c r="CS15" s="46">
        <f t="shared" si="25"/>
        <v>18750</v>
      </c>
      <c r="CT15" s="46">
        <f t="shared" si="26"/>
        <v>5013</v>
      </c>
      <c r="CU15" s="46"/>
      <c r="CV15" s="46"/>
      <c r="CW15" s="46"/>
      <c r="CX15" s="46"/>
      <c r="CY15" s="46"/>
      <c r="CZ15" s="46"/>
      <c r="DA15" s="40"/>
      <c r="DB15" s="40"/>
      <c r="DC15" s="40"/>
      <c r="DD15" s="40"/>
      <c r="DE15" s="40"/>
      <c r="DF15" s="40"/>
      <c r="DG15" s="40"/>
      <c r="DH15" s="40"/>
      <c r="DI15" s="40"/>
      <c r="DJ15" s="40"/>
      <c r="DK15" s="40"/>
      <c r="DL15" s="40"/>
      <c r="DM15" s="40"/>
      <c r="DN15" s="40"/>
      <c r="DO15" s="40"/>
      <c r="DP15" s="40"/>
      <c r="DQ15" s="40"/>
      <c r="DR15" s="40"/>
      <c r="DS15" s="40"/>
      <c r="DT15" s="40"/>
      <c r="DU15" s="40"/>
      <c r="DV15" s="40"/>
      <c r="DW15" s="40"/>
      <c r="DX15" s="40"/>
      <c r="DY15" s="40"/>
      <c r="DZ15" s="40"/>
      <c r="EA15" s="40"/>
      <c r="EB15" s="40"/>
      <c r="EC15" s="40"/>
      <c r="ED15" s="40"/>
      <c r="EE15" s="40"/>
      <c r="EF15" s="40"/>
      <c r="EG15" s="40"/>
      <c r="EH15" s="40"/>
      <c r="EI15" s="40"/>
      <c r="EJ15" s="40"/>
      <c r="EK15" s="40"/>
    </row>
    <row r="16" spans="1:141" ht="13" customHeight="1">
      <c r="A16" s="41"/>
      <c r="B16" s="47" t="s">
        <v>178</v>
      </c>
      <c r="C16" s="45"/>
      <c r="D16" s="45"/>
      <c r="E16" s="45"/>
      <c r="F16" s="45"/>
      <c r="G16" s="44"/>
      <c r="H16" s="44"/>
      <c r="I16" s="44"/>
      <c r="J16" s="44"/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  <c r="AA16" s="44"/>
      <c r="AB16" s="44"/>
      <c r="AC16" s="44"/>
      <c r="AD16" s="44"/>
      <c r="AE16" s="44"/>
      <c r="AF16" s="44"/>
      <c r="AG16" s="44"/>
      <c r="AH16" s="44"/>
      <c r="AI16" s="44"/>
      <c r="AJ16" s="44"/>
      <c r="AK16" s="44"/>
      <c r="AL16" s="44"/>
      <c r="AM16" s="44"/>
      <c r="AN16" s="44"/>
      <c r="AO16" s="44"/>
      <c r="AP16" s="44"/>
      <c r="AQ16" s="44"/>
      <c r="AR16" s="44">
        <v>0</v>
      </c>
      <c r="AS16" s="44">
        <v>540</v>
      </c>
      <c r="AT16" s="44">
        <v>992</v>
      </c>
      <c r="AU16" s="44">
        <v>1425</v>
      </c>
      <c r="AV16" s="44">
        <v>2325</v>
      </c>
      <c r="AW16" s="44">
        <v>3122</v>
      </c>
      <c r="AX16" s="44">
        <v>4365</v>
      </c>
      <c r="AY16" s="44">
        <v>4755</v>
      </c>
      <c r="AZ16" s="44">
        <v>4836</v>
      </c>
      <c r="BA16" s="44">
        <v>5432</v>
      </c>
      <c r="BB16" s="44">
        <v>6188</v>
      </c>
      <c r="BC16" s="44">
        <v>6662</v>
      </c>
      <c r="BD16" s="44">
        <v>7435</v>
      </c>
      <c r="BE16" s="44">
        <v>8892</v>
      </c>
      <c r="BF16" s="44">
        <v>10716</v>
      </c>
      <c r="BG16" s="44">
        <v>12035</v>
      </c>
      <c r="BH16" s="44">
        <v>14349</v>
      </c>
      <c r="BI16" s="44">
        <v>16390</v>
      </c>
      <c r="BJ16" s="44">
        <v>16976</v>
      </c>
      <c r="BK16" s="44">
        <v>19640</v>
      </c>
      <c r="BL16" s="44">
        <v>22101</v>
      </c>
      <c r="BM16" s="44">
        <v>23912</v>
      </c>
      <c r="BN16" s="44">
        <v>30065</v>
      </c>
      <c r="BO16" s="44">
        <v>27810</v>
      </c>
      <c r="BP16" s="44"/>
      <c r="BQ16" s="44"/>
      <c r="BR16" s="44"/>
      <c r="BS16" s="43"/>
      <c r="BT16" s="42"/>
      <c r="BU16" s="42"/>
      <c r="BV16" s="42"/>
      <c r="BW16" s="42"/>
      <c r="BX16" s="42"/>
      <c r="BY16" s="42"/>
      <c r="BZ16" s="42"/>
      <c r="CA16" s="42"/>
      <c r="CB16" s="42"/>
      <c r="CC16" s="42"/>
      <c r="CD16" s="44"/>
      <c r="CE16" s="44"/>
      <c r="CF16" s="44"/>
      <c r="CG16" s="42"/>
      <c r="CH16" s="42"/>
      <c r="CI16" s="42"/>
      <c r="CJ16" s="42"/>
      <c r="CK16" s="42"/>
      <c r="CL16" s="40"/>
      <c r="CM16" s="46"/>
      <c r="CN16" s="46"/>
      <c r="CO16" s="46"/>
      <c r="CP16" s="46">
        <f t="shared" si="22"/>
        <v>21211</v>
      </c>
      <c r="CQ16" s="46">
        <f t="shared" si="23"/>
        <v>33705</v>
      </c>
      <c r="CR16" s="46">
        <f t="shared" si="24"/>
        <v>59750</v>
      </c>
      <c r="CS16" s="46">
        <f t="shared" si="25"/>
        <v>95718</v>
      </c>
      <c r="CT16" s="46">
        <f t="shared" si="26"/>
        <v>27810</v>
      </c>
      <c r="CU16" s="46"/>
      <c r="CV16" s="46"/>
      <c r="CW16" s="46"/>
      <c r="CX16" s="46"/>
      <c r="CY16" s="46"/>
      <c r="CZ16" s="46"/>
      <c r="DA16" s="40"/>
      <c r="DB16" s="40"/>
      <c r="DC16" s="40"/>
      <c r="DD16" s="40"/>
      <c r="DE16" s="40"/>
      <c r="DF16" s="40"/>
      <c r="DG16" s="40"/>
      <c r="DH16" s="40"/>
      <c r="DI16" s="40"/>
      <c r="DJ16" s="40"/>
      <c r="DK16" s="40"/>
      <c r="DL16" s="40"/>
      <c r="DM16" s="40"/>
      <c r="DN16" s="40"/>
      <c r="DO16" s="40"/>
      <c r="DP16" s="40"/>
      <c r="DQ16" s="40"/>
      <c r="DR16" s="40"/>
      <c r="DS16" s="40"/>
      <c r="DT16" s="40"/>
      <c r="DU16" s="40"/>
      <c r="DV16" s="40"/>
      <c r="DW16" s="40"/>
      <c r="DX16" s="40"/>
      <c r="DY16" s="40"/>
      <c r="DZ16" s="40"/>
      <c r="EA16" s="40"/>
      <c r="EB16" s="40"/>
      <c r="EC16" s="40"/>
      <c r="ED16" s="40"/>
      <c r="EE16" s="40"/>
      <c r="EF16" s="40"/>
      <c r="EG16" s="40"/>
      <c r="EH16" s="40"/>
      <c r="EI16" s="40"/>
      <c r="EJ16" s="40"/>
      <c r="EK16" s="40"/>
    </row>
    <row r="17" spans="1:141" ht="13" customHeight="1">
      <c r="A17" s="41"/>
      <c r="B17" s="47" t="s">
        <v>131</v>
      </c>
      <c r="C17" s="45">
        <v>443</v>
      </c>
      <c r="D17" s="45">
        <v>460</v>
      </c>
      <c r="E17" s="45">
        <v>464</v>
      </c>
      <c r="F17" s="45">
        <v>477</v>
      </c>
      <c r="G17" s="44">
        <v>484</v>
      </c>
      <c r="H17" s="44">
        <v>492</v>
      </c>
      <c r="I17" s="44">
        <v>519</v>
      </c>
      <c r="J17" s="44">
        <f>2064-I17-H17-G17</f>
        <v>569</v>
      </c>
      <c r="K17" s="44">
        <v>503</v>
      </c>
      <c r="L17" s="44">
        <v>583</v>
      </c>
      <c r="M17" s="44">
        <v>567</v>
      </c>
      <c r="N17" s="44">
        <v>561</v>
      </c>
      <c r="O17" s="44">
        <v>639</v>
      </c>
      <c r="P17" s="44"/>
      <c r="Q17" s="44"/>
      <c r="R17" s="44"/>
      <c r="S17" s="44"/>
      <c r="T17" s="44"/>
      <c r="U17" s="44"/>
      <c r="V17" s="44"/>
      <c r="W17" s="44">
        <v>597</v>
      </c>
      <c r="X17" s="44">
        <v>619</v>
      </c>
      <c r="Y17" s="44">
        <v>624</v>
      </c>
      <c r="Z17" s="44">
        <v>572</v>
      </c>
      <c r="AA17" s="44">
        <v>587</v>
      </c>
      <c r="AB17" s="44">
        <f>1166-AA17</f>
        <v>579</v>
      </c>
      <c r="AC17" s="44"/>
      <c r="AD17" s="44"/>
      <c r="AE17" s="44"/>
      <c r="AF17" s="44"/>
      <c r="AG17" s="44"/>
      <c r="AH17" s="44"/>
      <c r="AI17" s="44"/>
      <c r="AJ17" s="44"/>
      <c r="AK17" s="44"/>
      <c r="AL17" s="44"/>
      <c r="AM17" s="44"/>
      <c r="AN17" s="44"/>
      <c r="AO17" s="44"/>
      <c r="AP17" s="44"/>
      <c r="AQ17" s="44"/>
      <c r="AR17" s="44"/>
      <c r="AS17" s="44"/>
      <c r="AT17" s="44"/>
      <c r="AU17" s="44"/>
      <c r="AV17" s="44"/>
      <c r="AW17" s="44"/>
      <c r="AX17" s="44"/>
      <c r="AY17" s="44"/>
      <c r="AZ17" s="44"/>
      <c r="BA17" s="44"/>
      <c r="BB17" s="44"/>
      <c r="BC17" s="44"/>
      <c r="BD17" s="44"/>
      <c r="BE17" s="44"/>
      <c r="BF17" s="44"/>
      <c r="BG17" s="44"/>
      <c r="BH17" s="44"/>
      <c r="BI17" s="44"/>
      <c r="BJ17" s="44"/>
      <c r="BK17" s="44"/>
      <c r="BL17" s="44"/>
      <c r="BM17" s="44"/>
      <c r="BN17" s="44"/>
      <c r="BO17" s="44"/>
      <c r="BP17" s="44"/>
      <c r="BQ17" s="44"/>
      <c r="BR17" s="44"/>
      <c r="BS17" s="43"/>
      <c r="BT17" s="42"/>
      <c r="BU17" s="42"/>
      <c r="BV17" s="42"/>
      <c r="BW17" s="42"/>
      <c r="BX17" s="42"/>
      <c r="BY17" s="42"/>
      <c r="BZ17" s="42"/>
      <c r="CA17" s="42"/>
      <c r="CB17" s="42"/>
      <c r="CC17" s="42"/>
      <c r="CD17" s="44">
        <f t="shared" si="12"/>
        <v>1844</v>
      </c>
      <c r="CE17" s="44">
        <f t="shared" ref="CE17:CE28" si="27">SUM(G17:J17)</f>
        <v>2064</v>
      </c>
      <c r="CF17" s="44">
        <f>SUM(K17:N17)</f>
        <v>2214</v>
      </c>
      <c r="CG17" s="44">
        <v>2309</v>
      </c>
      <c r="CH17" s="44">
        <v>2511</v>
      </c>
      <c r="CI17" s="42"/>
      <c r="CJ17" s="42"/>
      <c r="CK17" s="42"/>
      <c r="CL17" s="40"/>
      <c r="CM17" s="46"/>
      <c r="CN17" s="46"/>
      <c r="CO17" s="46"/>
      <c r="CP17" s="46">
        <f t="shared" si="22"/>
        <v>0</v>
      </c>
      <c r="CQ17" s="46">
        <f t="shared" si="23"/>
        <v>0</v>
      </c>
      <c r="CR17" s="46">
        <f t="shared" si="24"/>
        <v>0</v>
      </c>
      <c r="CS17" s="46">
        <f t="shared" si="25"/>
        <v>0</v>
      </c>
      <c r="CT17" s="46">
        <f t="shared" si="26"/>
        <v>0</v>
      </c>
      <c r="CU17" s="46"/>
      <c r="CV17" s="46"/>
      <c r="CW17" s="46"/>
      <c r="CX17" s="46"/>
      <c r="CY17" s="46"/>
      <c r="CZ17" s="46"/>
      <c r="DA17" s="40"/>
      <c r="DB17" s="40"/>
      <c r="DC17" s="40"/>
      <c r="DD17" s="40"/>
      <c r="DE17" s="40"/>
      <c r="DF17" s="40"/>
      <c r="DG17" s="40"/>
      <c r="DH17" s="40"/>
      <c r="DI17" s="40"/>
      <c r="DJ17" s="40"/>
      <c r="DK17" s="40"/>
      <c r="DL17" s="40"/>
      <c r="DM17" s="40"/>
      <c r="DN17" s="40"/>
      <c r="DO17" s="40"/>
      <c r="DP17" s="40"/>
      <c r="DQ17" s="40"/>
      <c r="DR17" s="40"/>
      <c r="DS17" s="40"/>
      <c r="DT17" s="40"/>
      <c r="DU17" s="40"/>
      <c r="DV17" s="40"/>
      <c r="DW17" s="40"/>
      <c r="DX17" s="40"/>
      <c r="DY17" s="40"/>
      <c r="DZ17" s="40"/>
      <c r="EA17" s="40"/>
      <c r="EB17" s="40"/>
      <c r="EC17" s="40"/>
      <c r="ED17" s="40"/>
      <c r="EE17" s="40"/>
      <c r="EF17" s="40"/>
      <c r="EG17" s="40"/>
      <c r="EH17" s="40"/>
      <c r="EI17" s="40"/>
      <c r="EJ17" s="40"/>
      <c r="EK17" s="40"/>
    </row>
    <row r="18" spans="1:141" ht="13" customHeight="1">
      <c r="A18" s="41"/>
      <c r="B18" s="47" t="s">
        <v>182</v>
      </c>
      <c r="C18" s="45"/>
      <c r="D18" s="45"/>
      <c r="E18" s="45"/>
      <c r="F18" s="45"/>
      <c r="G18" s="44"/>
      <c r="H18" s="44"/>
      <c r="I18" s="44"/>
      <c r="J18" s="44"/>
      <c r="K18" s="44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  <c r="AA18" s="44"/>
      <c r="AB18" s="44"/>
      <c r="AC18" s="44"/>
      <c r="AD18" s="44"/>
      <c r="AE18" s="44"/>
      <c r="AF18" s="44"/>
      <c r="AG18" s="44"/>
      <c r="AH18" s="44"/>
      <c r="AI18" s="44"/>
      <c r="AJ18" s="44"/>
      <c r="AK18" s="44"/>
      <c r="AL18" s="44"/>
      <c r="AM18" s="44"/>
      <c r="AN18" s="44"/>
      <c r="AO18" s="44"/>
      <c r="AP18" s="44"/>
      <c r="AQ18" s="44"/>
      <c r="AR18" s="44"/>
      <c r="AS18" s="44"/>
      <c r="AT18" s="44"/>
      <c r="AU18" s="44"/>
      <c r="AV18" s="44"/>
      <c r="AW18" s="44"/>
      <c r="AX18" s="44"/>
      <c r="AY18" s="44"/>
      <c r="AZ18" s="44"/>
      <c r="BA18" s="44"/>
      <c r="BB18" s="44"/>
      <c r="BC18" s="44"/>
      <c r="BD18" s="44"/>
      <c r="BE18" s="44"/>
      <c r="BF18" s="44"/>
      <c r="BG18" s="44">
        <v>1404</v>
      </c>
      <c r="BH18" s="44">
        <v>1181</v>
      </c>
      <c r="BI18" s="44">
        <v>1157</v>
      </c>
      <c r="BJ18" s="44">
        <v>2446</v>
      </c>
      <c r="BK18" s="44">
        <v>4563</v>
      </c>
      <c r="BL18" s="44">
        <v>7518</v>
      </c>
      <c r="BM18" s="44">
        <v>9648</v>
      </c>
      <c r="BN18" s="44">
        <v>9614</v>
      </c>
      <c r="BO18" s="44">
        <v>9377</v>
      </c>
      <c r="BP18" s="44"/>
      <c r="BQ18" s="44"/>
      <c r="BR18" s="44"/>
      <c r="BS18" s="43"/>
      <c r="BT18" s="42"/>
      <c r="BU18" s="42"/>
      <c r="BV18" s="42"/>
      <c r="BW18" s="42"/>
      <c r="BX18" s="42"/>
      <c r="BY18" s="42"/>
      <c r="BZ18" s="42"/>
      <c r="CA18" s="42"/>
      <c r="CB18" s="42"/>
      <c r="CC18" s="42"/>
      <c r="CD18" s="44"/>
      <c r="CE18" s="44"/>
      <c r="CF18" s="44"/>
      <c r="CG18" s="42"/>
      <c r="CH18" s="42"/>
      <c r="CI18" s="42"/>
      <c r="CJ18" s="42"/>
      <c r="CK18" s="42"/>
      <c r="CL18" s="40"/>
      <c r="CM18" s="46"/>
      <c r="CN18" s="46"/>
      <c r="CO18" s="46"/>
      <c r="CP18" s="46">
        <f t="shared" si="22"/>
        <v>0</v>
      </c>
      <c r="CQ18" s="46">
        <f t="shared" si="23"/>
        <v>0</v>
      </c>
      <c r="CR18" s="46">
        <f t="shared" si="24"/>
        <v>6188</v>
      </c>
      <c r="CS18" s="46">
        <f t="shared" si="25"/>
        <v>31343</v>
      </c>
      <c r="CT18" s="46">
        <f t="shared" si="26"/>
        <v>9377</v>
      </c>
      <c r="CU18" s="46"/>
      <c r="CV18" s="46"/>
      <c r="CW18" s="46"/>
      <c r="CX18" s="46"/>
      <c r="CY18" s="46"/>
      <c r="CZ18" s="46"/>
      <c r="DA18" s="40"/>
      <c r="DB18" s="40"/>
      <c r="DC18" s="40"/>
      <c r="DD18" s="40"/>
      <c r="DE18" s="40"/>
      <c r="DF18" s="40"/>
      <c r="DG18" s="40"/>
      <c r="DH18" s="40"/>
      <c r="DI18" s="40"/>
      <c r="DJ18" s="40"/>
      <c r="DK18" s="40"/>
      <c r="DL18" s="40"/>
      <c r="DM18" s="40"/>
      <c r="DN18" s="40"/>
      <c r="DO18" s="40"/>
      <c r="DP18" s="40"/>
      <c r="DQ18" s="40"/>
      <c r="DR18" s="40"/>
      <c r="DS18" s="40"/>
      <c r="DT18" s="40"/>
      <c r="DU18" s="40"/>
      <c r="DV18" s="40"/>
      <c r="DW18" s="40"/>
      <c r="DX18" s="40"/>
      <c r="DY18" s="40"/>
      <c r="DZ18" s="40"/>
      <c r="EA18" s="40"/>
      <c r="EB18" s="40"/>
      <c r="EC18" s="40"/>
      <c r="ED18" s="40"/>
      <c r="EE18" s="40"/>
      <c r="EF18" s="40"/>
      <c r="EG18" s="40"/>
      <c r="EH18" s="40"/>
      <c r="EI18" s="40"/>
      <c r="EJ18" s="40"/>
      <c r="EK18" s="40"/>
    </row>
    <row r="19" spans="1:141" ht="13" customHeight="1">
      <c r="A19" s="41"/>
      <c r="B19" s="47" t="s">
        <v>183</v>
      </c>
      <c r="C19" s="45"/>
      <c r="D19" s="45"/>
      <c r="E19" s="45"/>
      <c r="F19" s="45"/>
      <c r="G19" s="44"/>
      <c r="H19" s="44"/>
      <c r="I19" s="44"/>
      <c r="J19" s="44"/>
      <c r="K19" s="4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  <c r="AA19" s="44"/>
      <c r="AB19" s="44"/>
      <c r="AC19" s="44"/>
      <c r="AD19" s="44"/>
      <c r="AE19" s="44"/>
      <c r="AF19" s="44"/>
      <c r="AG19" s="44"/>
      <c r="AH19" s="44"/>
      <c r="AI19" s="44"/>
      <c r="AJ19" s="44"/>
      <c r="AK19" s="44"/>
      <c r="AL19" s="44"/>
      <c r="AM19" s="44"/>
      <c r="AN19" s="44"/>
      <c r="AO19" s="44"/>
      <c r="AP19" s="44"/>
      <c r="AQ19" s="44"/>
      <c r="AR19" s="44">
        <v>883</v>
      </c>
      <c r="AS19" s="44">
        <v>987</v>
      </c>
      <c r="AT19" s="44">
        <v>1229</v>
      </c>
      <c r="AU19" s="44">
        <v>1211</v>
      </c>
      <c r="AV19" s="44">
        <v>1462</v>
      </c>
      <c r="AW19" s="44">
        <v>1442</v>
      </c>
      <c r="AX19" s="44">
        <v>1564</v>
      </c>
      <c r="AY19" s="44">
        <v>1577</v>
      </c>
      <c r="AZ19" s="44">
        <v>1308</v>
      </c>
      <c r="BA19" s="44">
        <v>1338</v>
      </c>
      <c r="BB19" s="44">
        <v>1385</v>
      </c>
      <c r="BC19" s="44">
        <v>1551</v>
      </c>
      <c r="BD19" s="44">
        <v>1992</v>
      </c>
      <c r="BE19" s="44">
        <v>2398</v>
      </c>
      <c r="BF19" s="44">
        <v>2459</v>
      </c>
      <c r="BG19" s="44">
        <v>1998</v>
      </c>
      <c r="BH19" s="44">
        <v>2462</v>
      </c>
      <c r="BI19" s="44">
        <v>3174</v>
      </c>
      <c r="BJ19" s="44">
        <v>3042</v>
      </c>
      <c r="BK19" s="44">
        <v>3279</v>
      </c>
      <c r="BL19" s="44">
        <v>2788</v>
      </c>
      <c r="BM19" s="44">
        <v>2607</v>
      </c>
      <c r="BN19" s="44">
        <v>1615</v>
      </c>
      <c r="BO19" s="44">
        <v>1658</v>
      </c>
      <c r="BP19" s="44"/>
      <c r="BQ19" s="44"/>
      <c r="BR19" s="44"/>
      <c r="BS19" s="43"/>
      <c r="BT19" s="42"/>
      <c r="BU19" s="42"/>
      <c r="BV19" s="42"/>
      <c r="BW19" s="42"/>
      <c r="BX19" s="42"/>
      <c r="BY19" s="42"/>
      <c r="BZ19" s="42"/>
      <c r="CA19" s="42"/>
      <c r="CB19" s="42"/>
      <c r="CC19" s="42"/>
      <c r="CD19" s="44"/>
      <c r="CE19" s="44"/>
      <c r="CF19" s="44"/>
      <c r="CG19" s="42"/>
      <c r="CH19" s="42"/>
      <c r="CI19" s="42"/>
      <c r="CJ19" s="42"/>
      <c r="CK19" s="42"/>
      <c r="CL19" s="40"/>
      <c r="CM19" s="46"/>
      <c r="CN19" s="46"/>
      <c r="CO19" s="46"/>
      <c r="CP19" s="46">
        <f t="shared" si="22"/>
        <v>5608</v>
      </c>
      <c r="CQ19" s="46">
        <f t="shared" si="23"/>
        <v>8400</v>
      </c>
      <c r="CR19" s="46">
        <f t="shared" si="24"/>
        <v>10676</v>
      </c>
      <c r="CS19" s="46">
        <f t="shared" si="25"/>
        <v>10289</v>
      </c>
      <c r="CT19" s="46">
        <f t="shared" si="26"/>
        <v>1658</v>
      </c>
      <c r="CU19" s="46"/>
      <c r="CV19" s="46"/>
      <c r="CW19" s="46"/>
      <c r="CX19" s="46"/>
      <c r="CY19" s="46"/>
      <c r="CZ19" s="46"/>
      <c r="DA19" s="40"/>
      <c r="DB19" s="40"/>
      <c r="DC19" s="40"/>
      <c r="DD19" s="40"/>
      <c r="DE19" s="40"/>
      <c r="DF19" s="40"/>
      <c r="DG19" s="40"/>
      <c r="DH19" s="40"/>
      <c r="DI19" s="40"/>
      <c r="DJ19" s="40"/>
      <c r="DK19" s="40"/>
      <c r="DL19" s="40"/>
      <c r="DM19" s="40"/>
      <c r="DN19" s="40"/>
      <c r="DO19" s="40"/>
      <c r="DP19" s="40"/>
      <c r="DQ19" s="40"/>
      <c r="DR19" s="40"/>
      <c r="DS19" s="40"/>
      <c r="DT19" s="40"/>
      <c r="DU19" s="40"/>
      <c r="DV19" s="40"/>
      <c r="DW19" s="40"/>
      <c r="DX19" s="40"/>
      <c r="DY19" s="40"/>
      <c r="DZ19" s="40"/>
      <c r="EA19" s="40"/>
      <c r="EB19" s="40"/>
      <c r="EC19" s="40"/>
      <c r="ED19" s="40"/>
      <c r="EE19" s="40"/>
      <c r="EF19" s="40"/>
      <c r="EG19" s="40"/>
      <c r="EH19" s="40"/>
      <c r="EI19" s="40"/>
      <c r="EJ19" s="40"/>
      <c r="EK19" s="40"/>
    </row>
    <row r="20" spans="1:141" ht="13" customHeight="1">
      <c r="A20" s="41"/>
      <c r="B20" s="47"/>
      <c r="C20" s="45"/>
      <c r="D20" s="45"/>
      <c r="E20" s="45"/>
      <c r="F20" s="45"/>
      <c r="G20" s="44"/>
      <c r="H20" s="44"/>
      <c r="I20" s="44"/>
      <c r="J20" s="44"/>
      <c r="K20" s="44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  <c r="AA20" s="44"/>
      <c r="AB20" s="44"/>
      <c r="AC20" s="44"/>
      <c r="AD20" s="44"/>
      <c r="AE20" s="44"/>
      <c r="AF20" s="44"/>
      <c r="AG20" s="44"/>
      <c r="AH20" s="44"/>
      <c r="AI20" s="44"/>
      <c r="AJ20" s="44"/>
      <c r="AK20" s="44"/>
      <c r="AL20" s="44"/>
      <c r="AM20" s="44"/>
      <c r="AN20" s="44"/>
      <c r="AO20" s="44"/>
      <c r="AP20" s="44"/>
      <c r="AQ20" s="44"/>
      <c r="AR20" s="44"/>
      <c r="AS20" s="44"/>
      <c r="AT20" s="44"/>
      <c r="AU20" s="44"/>
      <c r="AV20" s="44"/>
      <c r="AW20" s="44"/>
      <c r="AX20" s="44"/>
      <c r="AY20" s="44"/>
      <c r="AZ20" s="44"/>
      <c r="BA20" s="44"/>
      <c r="BB20" s="44"/>
      <c r="BC20" s="44"/>
      <c r="BD20" s="44"/>
      <c r="BE20" s="44"/>
      <c r="BF20" s="44"/>
      <c r="BG20" s="44"/>
      <c r="BH20" s="44"/>
      <c r="BI20" s="44"/>
      <c r="BJ20" s="44"/>
      <c r="BK20" s="44"/>
      <c r="BL20" s="44"/>
      <c r="BM20" s="44"/>
      <c r="BN20" s="44"/>
      <c r="BO20" s="44"/>
      <c r="BP20" s="44"/>
      <c r="BQ20" s="44"/>
      <c r="BR20" s="44"/>
      <c r="BS20" s="43"/>
      <c r="BT20" s="42"/>
      <c r="BU20" s="42"/>
      <c r="BV20" s="42"/>
      <c r="BW20" s="42"/>
      <c r="BX20" s="42"/>
      <c r="BY20" s="42"/>
      <c r="BZ20" s="42"/>
      <c r="CA20" s="42"/>
      <c r="CB20" s="42"/>
      <c r="CC20" s="42"/>
      <c r="CD20" s="44"/>
      <c r="CE20" s="44"/>
      <c r="CF20" s="44"/>
      <c r="CG20" s="42"/>
      <c r="CH20" s="42"/>
      <c r="CI20" s="42"/>
      <c r="CJ20" s="42"/>
      <c r="CK20" s="42"/>
      <c r="CL20" s="40"/>
      <c r="CM20" s="46"/>
      <c r="CN20" s="46"/>
      <c r="CO20" s="46"/>
      <c r="CP20" s="46"/>
      <c r="CQ20" s="46"/>
      <c r="CR20" s="46"/>
      <c r="CS20" s="46"/>
      <c r="CT20" s="46">
        <f t="shared" si="26"/>
        <v>0</v>
      </c>
      <c r="CU20" s="46"/>
      <c r="CV20" s="46"/>
      <c r="CW20" s="46"/>
      <c r="CX20" s="46"/>
      <c r="CY20" s="46"/>
      <c r="CZ20" s="46"/>
      <c r="DA20" s="40"/>
      <c r="DB20" s="40"/>
      <c r="DC20" s="40"/>
      <c r="DD20" s="40"/>
      <c r="DE20" s="40"/>
      <c r="DF20" s="40"/>
      <c r="DG20" s="40"/>
      <c r="DH20" s="40"/>
      <c r="DI20" s="40"/>
      <c r="DJ20" s="40"/>
      <c r="DK20" s="40"/>
      <c r="DL20" s="40"/>
      <c r="DM20" s="40"/>
      <c r="DN20" s="40"/>
      <c r="DO20" s="40"/>
      <c r="DP20" s="40"/>
      <c r="DQ20" s="40"/>
      <c r="DR20" s="40"/>
      <c r="DS20" s="40"/>
      <c r="DT20" s="40"/>
      <c r="DU20" s="40"/>
      <c r="DV20" s="40"/>
      <c r="DW20" s="40"/>
      <c r="DX20" s="40"/>
      <c r="DY20" s="40"/>
      <c r="DZ20" s="40"/>
      <c r="EA20" s="40"/>
      <c r="EB20" s="40"/>
      <c r="EC20" s="40"/>
      <c r="ED20" s="40"/>
      <c r="EE20" s="40"/>
      <c r="EF20" s="40"/>
      <c r="EG20" s="40"/>
      <c r="EH20" s="40"/>
      <c r="EI20" s="40"/>
      <c r="EJ20" s="40"/>
      <c r="EK20" s="40"/>
    </row>
    <row r="21" spans="1:141" ht="13" customHeight="1">
      <c r="A21" s="41"/>
      <c r="B21" s="47" t="s">
        <v>132</v>
      </c>
      <c r="C21" s="45">
        <v>640</v>
      </c>
      <c r="D21" s="45">
        <v>478</v>
      </c>
      <c r="E21" s="45">
        <v>671</v>
      </c>
      <c r="F21" s="45">
        <v>602</v>
      </c>
      <c r="G21" s="44">
        <v>691</v>
      </c>
      <c r="H21" s="44">
        <v>675</v>
      </c>
      <c r="I21" s="44">
        <v>650</v>
      </c>
      <c r="J21" s="44">
        <f>2652-I21-H21-G21</f>
        <v>636</v>
      </c>
      <c r="K21" s="44">
        <v>645</v>
      </c>
      <c r="L21" s="44">
        <v>704</v>
      </c>
      <c r="M21" s="44">
        <v>736</v>
      </c>
      <c r="N21" s="44">
        <v>666</v>
      </c>
      <c r="O21" s="44">
        <v>711</v>
      </c>
      <c r="P21" s="44"/>
      <c r="Q21" s="44"/>
      <c r="R21" s="44"/>
      <c r="S21" s="44"/>
      <c r="T21" s="44"/>
      <c r="U21" s="44"/>
      <c r="V21" s="44"/>
      <c r="W21" s="44">
        <v>694</v>
      </c>
      <c r="X21" s="44">
        <v>681</v>
      </c>
      <c r="Y21" s="44">
        <v>504</v>
      </c>
      <c r="Z21" s="44">
        <v>367</v>
      </c>
      <c r="AA21" s="44">
        <v>426</v>
      </c>
      <c r="AB21" s="44">
        <f>878-AA21</f>
        <v>452</v>
      </c>
      <c r="AC21" s="44"/>
      <c r="AD21" s="44"/>
      <c r="AE21" s="44">
        <v>1195</v>
      </c>
      <c r="AF21" s="44">
        <v>1075</v>
      </c>
      <c r="AG21" s="44">
        <v>1223</v>
      </c>
      <c r="AH21" s="44">
        <v>1237</v>
      </c>
      <c r="AI21" s="44">
        <v>1374</v>
      </c>
      <c r="AJ21" s="44">
        <v>1391</v>
      </c>
      <c r="AK21" s="44">
        <v>1513</v>
      </c>
      <c r="AL21" s="44">
        <v>1566</v>
      </c>
      <c r="AM21" s="44"/>
      <c r="AN21" s="44"/>
      <c r="AO21" s="44"/>
      <c r="AP21" s="44"/>
      <c r="AQ21" s="44"/>
      <c r="AR21" s="44">
        <v>1206</v>
      </c>
      <c r="AS21" s="44">
        <v>1044</v>
      </c>
      <c r="AT21" s="44">
        <v>1074</v>
      </c>
      <c r="AU21" s="44">
        <v>1067</v>
      </c>
      <c r="AV21" s="44">
        <v>1125</v>
      </c>
      <c r="AW21" s="44">
        <v>1038</v>
      </c>
      <c r="AX21" s="44">
        <v>1017</v>
      </c>
      <c r="AY21" s="44">
        <v>1125</v>
      </c>
      <c r="AZ21" s="44">
        <v>977</v>
      </c>
      <c r="BA21" s="44">
        <v>954</v>
      </c>
      <c r="BB21" s="44">
        <v>975</v>
      </c>
      <c r="BC21" s="44">
        <v>1110</v>
      </c>
      <c r="BD21" s="44">
        <v>809</v>
      </c>
      <c r="BE21" s="44">
        <v>859</v>
      </c>
      <c r="BF21" s="44">
        <v>816</v>
      </c>
      <c r="BG21" s="44">
        <v>884</v>
      </c>
      <c r="BH21" s="44">
        <v>830</v>
      </c>
      <c r="BI21" s="44">
        <v>798</v>
      </c>
      <c r="BJ21" s="44">
        <v>713</v>
      </c>
      <c r="BK21" s="44">
        <v>729</v>
      </c>
      <c r="BL21" s="44">
        <v>667</v>
      </c>
      <c r="BM21" s="44">
        <v>594</v>
      </c>
      <c r="BN21" s="44">
        <v>322</v>
      </c>
      <c r="BO21" s="44">
        <v>583</v>
      </c>
      <c r="BP21" s="44"/>
      <c r="BQ21" s="44"/>
      <c r="BR21" s="44"/>
      <c r="BS21" s="43"/>
      <c r="BT21" s="42"/>
      <c r="BU21" s="42"/>
      <c r="BV21" s="42"/>
      <c r="BW21" s="42"/>
      <c r="BX21" s="42"/>
      <c r="BY21" s="42"/>
      <c r="BZ21" s="42"/>
      <c r="CA21" s="42"/>
      <c r="CB21" s="42"/>
      <c r="CC21" s="42"/>
      <c r="CD21" s="44">
        <f t="shared" si="12"/>
        <v>2391</v>
      </c>
      <c r="CE21" s="44">
        <f t="shared" si="27"/>
        <v>2652</v>
      </c>
      <c r="CF21" s="44">
        <f>SUM(K21:N21)</f>
        <v>2751</v>
      </c>
      <c r="CG21" s="44">
        <v>2575</v>
      </c>
      <c r="CH21" s="44">
        <v>2758</v>
      </c>
      <c r="CI21" s="42"/>
      <c r="CJ21" s="42"/>
      <c r="CK21" s="42"/>
      <c r="CL21" s="40"/>
      <c r="CM21" s="46"/>
      <c r="CN21" s="46"/>
      <c r="CO21" s="46"/>
      <c r="CP21" s="46">
        <f t="shared" ref="CP21" si="28">SUM(AY21:BB21)</f>
        <v>4031</v>
      </c>
      <c r="CQ21" s="46">
        <f t="shared" ref="CQ21" si="29">SUM(BC21:BF21)</f>
        <v>3594</v>
      </c>
      <c r="CR21" s="46">
        <f t="shared" ref="CR21" si="30">SUM(BG21:BJ21)</f>
        <v>3225</v>
      </c>
      <c r="CS21" s="46">
        <f t="shared" ref="CS21" si="31">SUM(BK21:BN21)</f>
        <v>2312</v>
      </c>
      <c r="CT21" s="46">
        <f t="shared" si="26"/>
        <v>583</v>
      </c>
      <c r="CU21" s="46"/>
      <c r="CV21" s="46"/>
      <c r="CW21" s="46"/>
      <c r="CX21" s="46"/>
      <c r="CY21" s="46"/>
      <c r="CZ21" s="46"/>
      <c r="DA21" s="40"/>
      <c r="DB21" s="40"/>
      <c r="DC21" s="40"/>
      <c r="DD21" s="40"/>
      <c r="DE21" s="40"/>
      <c r="DF21" s="40"/>
      <c r="DG21" s="40"/>
      <c r="DH21" s="40"/>
      <c r="DI21" s="40"/>
      <c r="DJ21" s="40"/>
      <c r="DK21" s="40"/>
      <c r="DL21" s="40"/>
      <c r="DM21" s="40"/>
      <c r="DN21" s="40"/>
      <c r="DO21" s="40"/>
      <c r="DP21" s="40"/>
      <c r="DQ21" s="40"/>
      <c r="DR21" s="40"/>
      <c r="DS21" s="40"/>
      <c r="DT21" s="40"/>
      <c r="DU21" s="40"/>
      <c r="DV21" s="40"/>
      <c r="DW21" s="40"/>
      <c r="DX21" s="40"/>
      <c r="DY21" s="40"/>
      <c r="DZ21" s="40"/>
      <c r="EA21" s="40"/>
      <c r="EB21" s="40"/>
      <c r="EC21" s="40"/>
      <c r="ED21" s="40"/>
      <c r="EE21" s="40"/>
      <c r="EF21" s="40"/>
      <c r="EG21" s="40"/>
      <c r="EH21" s="40"/>
      <c r="EI21" s="40"/>
      <c r="EJ21" s="40"/>
      <c r="EK21" s="40"/>
    </row>
    <row r="22" spans="1:141" ht="13" customHeight="1">
      <c r="A22" s="41"/>
      <c r="B22" s="47"/>
      <c r="C22" s="45"/>
      <c r="D22" s="45"/>
      <c r="E22" s="45"/>
      <c r="F22" s="45"/>
      <c r="G22" s="44"/>
      <c r="H22" s="44"/>
      <c r="I22" s="44"/>
      <c r="J22" s="44"/>
      <c r="K22" s="44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  <c r="AA22" s="44"/>
      <c r="AB22" s="44"/>
      <c r="AC22" s="44"/>
      <c r="AD22" s="44"/>
      <c r="AE22" s="44"/>
      <c r="AF22" s="44"/>
      <c r="AG22" s="44"/>
      <c r="AH22" s="44"/>
      <c r="AI22" s="44"/>
      <c r="AJ22" s="44"/>
      <c r="AK22" s="44"/>
      <c r="AL22" s="44"/>
      <c r="AM22" s="44"/>
      <c r="AN22" s="44"/>
      <c r="AO22" s="44"/>
      <c r="AP22" s="44"/>
      <c r="AQ22" s="44"/>
      <c r="AR22" s="44"/>
      <c r="AS22" s="44"/>
      <c r="AT22" s="44"/>
      <c r="AU22" s="44"/>
      <c r="AV22" s="44"/>
      <c r="AW22" s="44"/>
      <c r="AX22" s="44"/>
      <c r="AY22" s="44"/>
      <c r="AZ22" s="44"/>
      <c r="BA22" s="44"/>
      <c r="BB22" s="44"/>
      <c r="BC22" s="44"/>
      <c r="BD22" s="44"/>
      <c r="BE22" s="44"/>
      <c r="BF22" s="44"/>
      <c r="BG22" s="44"/>
      <c r="BH22" s="44"/>
      <c r="BI22" s="44"/>
      <c r="BJ22" s="44"/>
      <c r="BK22" s="44"/>
      <c r="BL22" s="44"/>
      <c r="BM22" s="44"/>
      <c r="BN22" s="44"/>
      <c r="BO22" s="44"/>
      <c r="BP22" s="44"/>
      <c r="BQ22" s="44"/>
      <c r="BR22" s="44"/>
      <c r="BS22" s="43"/>
      <c r="BT22" s="42"/>
      <c r="BU22" s="42"/>
      <c r="BV22" s="42"/>
      <c r="BW22" s="42"/>
      <c r="BX22" s="42"/>
      <c r="BY22" s="42"/>
      <c r="BZ22" s="42"/>
      <c r="CA22" s="42"/>
      <c r="CB22" s="42"/>
      <c r="CC22" s="42"/>
      <c r="CD22" s="44"/>
      <c r="CE22" s="44"/>
      <c r="CF22" s="44"/>
      <c r="CG22" s="42"/>
      <c r="CH22" s="42"/>
      <c r="CI22" s="42"/>
      <c r="CJ22" s="42"/>
      <c r="CK22" s="42"/>
      <c r="CL22" s="40"/>
      <c r="CM22" s="46"/>
      <c r="CN22" s="46"/>
      <c r="CO22" s="46"/>
      <c r="CP22" s="46"/>
      <c r="CQ22" s="46"/>
      <c r="CR22" s="46"/>
      <c r="CS22" s="46"/>
      <c r="CT22" s="46">
        <f t="shared" si="26"/>
        <v>0</v>
      </c>
      <c r="CU22" s="46"/>
      <c r="CV22" s="46"/>
      <c r="CW22" s="46"/>
      <c r="CX22" s="46"/>
      <c r="CY22" s="46"/>
      <c r="CZ22" s="46"/>
      <c r="DA22" s="40"/>
      <c r="DB22" s="40"/>
      <c r="DC22" s="40"/>
      <c r="DD22" s="40"/>
      <c r="DE22" s="40"/>
      <c r="DF22" s="40"/>
      <c r="DG22" s="40"/>
      <c r="DH22" s="40"/>
      <c r="DI22" s="40"/>
      <c r="DJ22" s="40"/>
      <c r="DK22" s="40"/>
      <c r="DL22" s="40"/>
      <c r="DM22" s="40"/>
      <c r="DN22" s="40"/>
      <c r="DO22" s="40"/>
      <c r="DP22" s="40"/>
      <c r="DQ22" s="40"/>
      <c r="DR22" s="40"/>
      <c r="DS22" s="40"/>
      <c r="DT22" s="40"/>
      <c r="DU22" s="40"/>
      <c r="DV22" s="40"/>
      <c r="DW22" s="40"/>
      <c r="DX22" s="40"/>
      <c r="DY22" s="40"/>
      <c r="DZ22" s="40"/>
      <c r="EA22" s="40"/>
      <c r="EB22" s="40"/>
      <c r="EC22" s="40"/>
      <c r="ED22" s="40"/>
      <c r="EE22" s="40"/>
      <c r="EF22" s="40"/>
      <c r="EG22" s="40"/>
      <c r="EH22" s="40"/>
      <c r="EI22" s="40"/>
      <c r="EJ22" s="40"/>
      <c r="EK22" s="40"/>
    </row>
    <row r="23" spans="1:141" ht="13" customHeight="1">
      <c r="A23" s="41"/>
      <c r="B23" s="47" t="s">
        <v>27</v>
      </c>
      <c r="C23" s="45">
        <v>1440</v>
      </c>
      <c r="D23" s="45">
        <v>1648</v>
      </c>
      <c r="E23" s="45">
        <v>1534</v>
      </c>
      <c r="F23" s="45">
        <v>1774</v>
      </c>
      <c r="G23" s="44">
        <v>1805</v>
      </c>
      <c r="H23" s="44">
        <v>1874</v>
      </c>
      <c r="I23" s="44">
        <v>1651</v>
      </c>
      <c r="J23" s="44">
        <f>7072-I23-H23-G23</f>
        <v>1742</v>
      </c>
      <c r="K23" s="44">
        <v>1914</v>
      </c>
      <c r="L23" s="44">
        <v>2155</v>
      </c>
      <c r="M23" s="44">
        <v>1965</v>
      </c>
      <c r="N23" s="44">
        <f>8030-M23-L23-K23</f>
        <v>1996</v>
      </c>
      <c r="O23" s="44">
        <v>2032</v>
      </c>
      <c r="P23" s="44"/>
      <c r="Q23" s="44"/>
      <c r="R23" s="44"/>
      <c r="S23" s="44"/>
      <c r="T23" s="44"/>
      <c r="U23" s="44"/>
      <c r="V23" s="44"/>
      <c r="W23" s="44">
        <v>2027</v>
      </c>
      <c r="X23" s="44">
        <v>2542</v>
      </c>
      <c r="Y23" s="44">
        <v>2428</v>
      </c>
      <c r="Z23" s="44">
        <v>2259</v>
      </c>
      <c r="AA23" s="44">
        <v>2247</v>
      </c>
      <c r="AB23" s="44">
        <f>4539-AA23</f>
        <v>2292</v>
      </c>
      <c r="AC23" s="44"/>
      <c r="AD23" s="44"/>
      <c r="AE23" s="44">
        <v>2734</v>
      </c>
      <c r="AF23" s="44">
        <v>2757</v>
      </c>
      <c r="AG23" s="44">
        <v>2371</v>
      </c>
      <c r="AH23" s="44">
        <v>2785</v>
      </c>
      <c r="AI23" s="44">
        <v>2836</v>
      </c>
      <c r="AJ23" s="44">
        <v>2530</v>
      </c>
      <c r="AK23" s="44">
        <v>2285</v>
      </c>
      <c r="AL23" s="44">
        <v>2821</v>
      </c>
      <c r="AM23" s="44"/>
      <c r="AN23" s="44"/>
      <c r="AO23" s="44"/>
      <c r="AP23" s="44"/>
      <c r="AQ23" s="44"/>
      <c r="AR23" s="44">
        <v>1886</v>
      </c>
      <c r="AS23" s="44">
        <v>1885</v>
      </c>
      <c r="AT23" s="44">
        <v>1956</v>
      </c>
      <c r="AU23" s="44">
        <v>2012</v>
      </c>
      <c r="AV23" s="44">
        <v>2163</v>
      </c>
      <c r="AW23" s="44">
        <v>1985</v>
      </c>
      <c r="AX23" s="44">
        <v>1959</v>
      </c>
      <c r="AY23" s="44">
        <v>2181</v>
      </c>
      <c r="AZ23" s="44">
        <v>1828</v>
      </c>
      <c r="BA23" s="44">
        <v>1674</v>
      </c>
      <c r="BB23" s="44">
        <v>1520</v>
      </c>
      <c r="BC23" s="44">
        <v>1980</v>
      </c>
      <c r="BD23" s="44">
        <v>1875</v>
      </c>
      <c r="BE23" s="44">
        <v>1676</v>
      </c>
      <c r="BF23" s="44">
        <v>1690</v>
      </c>
      <c r="BG23" s="44">
        <v>2271</v>
      </c>
      <c r="BH23" s="44">
        <v>2018</v>
      </c>
      <c r="BI23" s="44">
        <v>2108</v>
      </c>
      <c r="BJ23" s="44">
        <v>1911</v>
      </c>
      <c r="BK23" s="44">
        <v>2101</v>
      </c>
      <c r="BL23" s="44">
        <v>1794</v>
      </c>
      <c r="BM23" s="44">
        <v>2078</v>
      </c>
      <c r="BN23" s="44">
        <v>1985</v>
      </c>
      <c r="BO23" s="44"/>
      <c r="BP23" s="44"/>
      <c r="BQ23" s="44"/>
      <c r="BR23" s="44"/>
      <c r="BS23" s="43"/>
      <c r="BT23" s="42"/>
      <c r="BU23" s="42"/>
      <c r="BV23" s="42"/>
      <c r="BW23" s="42"/>
      <c r="BX23" s="42"/>
      <c r="BY23" s="42"/>
      <c r="BZ23" s="42"/>
      <c r="CA23" s="42"/>
      <c r="CB23" s="42"/>
      <c r="CC23" s="42"/>
      <c r="CD23" s="44">
        <f t="shared" si="12"/>
        <v>6396</v>
      </c>
      <c r="CE23" s="44">
        <f t="shared" si="27"/>
        <v>7072</v>
      </c>
      <c r="CF23" s="44">
        <f>SUM(K23:N23)</f>
        <v>8030</v>
      </c>
      <c r="CG23" s="44">
        <v>8347</v>
      </c>
      <c r="CH23" s="44">
        <v>8933</v>
      </c>
      <c r="CI23" s="42"/>
      <c r="CJ23" s="42"/>
      <c r="CK23" s="42"/>
      <c r="CL23" s="40"/>
      <c r="CM23" s="46"/>
      <c r="CN23" s="46"/>
      <c r="CO23" s="46"/>
      <c r="CP23" s="46">
        <f t="shared" ref="CP23:CP30" si="32">SUM(AY23:BB23)</f>
        <v>7203</v>
      </c>
      <c r="CQ23" s="46">
        <f t="shared" ref="CQ23:CQ30" si="33">SUM(BC23:BF23)</f>
        <v>7221</v>
      </c>
      <c r="CR23" s="46">
        <f t="shared" ref="CR23:CR30" si="34">SUM(BG23:BJ23)</f>
        <v>8308</v>
      </c>
      <c r="CS23" s="46">
        <f t="shared" ref="CS23:CS30" si="35">SUM(BK23:BN23)</f>
        <v>7958</v>
      </c>
      <c r="CT23" s="46">
        <f t="shared" si="26"/>
        <v>0</v>
      </c>
      <c r="CU23" s="46"/>
      <c r="CV23" s="46"/>
      <c r="CW23" s="46"/>
      <c r="CX23" s="46"/>
      <c r="CY23" s="46"/>
      <c r="CZ23" s="46"/>
      <c r="DA23" s="40"/>
      <c r="DB23" s="40"/>
      <c r="DC23" s="40"/>
      <c r="DD23" s="40"/>
      <c r="DE23" s="40"/>
      <c r="DF23" s="40"/>
      <c r="DG23" s="40"/>
      <c r="DH23" s="40"/>
      <c r="DI23" s="40"/>
      <c r="DJ23" s="40"/>
      <c r="DK23" s="40"/>
      <c r="DL23" s="40"/>
      <c r="DM23" s="40"/>
      <c r="DN23" s="40"/>
      <c r="DO23" s="40"/>
      <c r="DP23" s="40"/>
      <c r="DQ23" s="40"/>
      <c r="DR23" s="40"/>
      <c r="DS23" s="40"/>
      <c r="DT23" s="40"/>
      <c r="DU23" s="40"/>
      <c r="DV23" s="40"/>
      <c r="DW23" s="40"/>
      <c r="DX23" s="40"/>
      <c r="DY23" s="40"/>
      <c r="DZ23" s="40"/>
      <c r="EA23" s="40"/>
      <c r="EB23" s="40"/>
      <c r="EC23" s="40"/>
      <c r="ED23" s="40"/>
      <c r="EE23" s="40"/>
      <c r="EF23" s="40"/>
      <c r="EG23" s="40"/>
      <c r="EH23" s="40"/>
      <c r="EI23" s="40"/>
      <c r="EJ23" s="40"/>
      <c r="EK23" s="40"/>
    </row>
    <row r="24" spans="1:141" ht="13" customHeight="1">
      <c r="A24" s="41"/>
      <c r="B24" s="47" t="s">
        <v>184</v>
      </c>
      <c r="C24" s="45"/>
      <c r="D24" s="45"/>
      <c r="E24" s="45"/>
      <c r="F24" s="45"/>
      <c r="G24" s="44"/>
      <c r="H24" s="44"/>
      <c r="I24" s="44"/>
      <c r="J24" s="44"/>
      <c r="K24" s="44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  <c r="AA24" s="44"/>
      <c r="AB24" s="44"/>
      <c r="AC24" s="44"/>
      <c r="AD24" s="44"/>
      <c r="AE24" s="44"/>
      <c r="AF24" s="44"/>
      <c r="AG24" s="44"/>
      <c r="AH24" s="44"/>
      <c r="AI24" s="44"/>
      <c r="AJ24" s="44"/>
      <c r="AK24" s="44"/>
      <c r="AL24" s="44"/>
      <c r="AM24" s="44"/>
      <c r="AN24" s="44"/>
      <c r="AO24" s="44"/>
      <c r="AP24" s="44"/>
      <c r="AQ24" s="44"/>
      <c r="AR24" s="44"/>
      <c r="AS24" s="44"/>
      <c r="AT24" s="44"/>
      <c r="AU24" s="44"/>
      <c r="AV24" s="44"/>
      <c r="AW24" s="44"/>
      <c r="AX24" s="44"/>
      <c r="AY24" s="44"/>
      <c r="AZ24" s="44"/>
      <c r="BA24" s="44"/>
      <c r="BC24" s="44">
        <v>497</v>
      </c>
      <c r="BD24" s="44">
        <v>623</v>
      </c>
      <c r="BE24" s="44">
        <v>411</v>
      </c>
      <c r="BF24" s="44">
        <v>581</v>
      </c>
      <c r="BG24" s="44">
        <v>565</v>
      </c>
      <c r="BH24" s="44">
        <v>619</v>
      </c>
      <c r="BI24" s="44">
        <v>512</v>
      </c>
      <c r="BJ24" s="44">
        <v>642</v>
      </c>
      <c r="BK24" s="44">
        <v>660</v>
      </c>
      <c r="BL24" s="44">
        <v>688</v>
      </c>
      <c r="BM24" s="44">
        <v>549</v>
      </c>
      <c r="BN24" s="44">
        <v>525</v>
      </c>
      <c r="BO24" s="44"/>
      <c r="BP24" s="44"/>
      <c r="BQ24" s="44"/>
      <c r="BR24" s="44"/>
      <c r="BS24" s="43"/>
      <c r="BT24" s="42"/>
      <c r="BU24" s="42"/>
      <c r="BV24" s="42"/>
      <c r="BW24" s="42"/>
      <c r="BX24" s="42"/>
      <c r="BY24" s="42"/>
      <c r="BZ24" s="42"/>
      <c r="CA24" s="42"/>
      <c r="CB24" s="42"/>
      <c r="CC24" s="42"/>
      <c r="CD24" s="44"/>
      <c r="CE24" s="44"/>
      <c r="CF24" s="44"/>
      <c r="CG24" s="42"/>
      <c r="CH24" s="42"/>
      <c r="CI24" s="42"/>
      <c r="CJ24" s="42"/>
      <c r="CK24" s="42"/>
      <c r="CL24" s="40"/>
      <c r="CM24" s="46"/>
      <c r="CN24" s="46"/>
      <c r="CO24" s="46"/>
      <c r="CP24" s="46">
        <f t="shared" si="32"/>
        <v>0</v>
      </c>
      <c r="CQ24" s="46">
        <f t="shared" si="33"/>
        <v>2112</v>
      </c>
      <c r="CR24" s="46">
        <f t="shared" si="34"/>
        <v>2338</v>
      </c>
      <c r="CS24" s="46">
        <f t="shared" si="35"/>
        <v>2422</v>
      </c>
      <c r="CT24" s="46">
        <f t="shared" si="26"/>
        <v>0</v>
      </c>
      <c r="CU24" s="46"/>
      <c r="CV24" s="46"/>
      <c r="CW24" s="46"/>
      <c r="CX24" s="46"/>
      <c r="CY24" s="46"/>
      <c r="CZ24" s="46"/>
      <c r="DA24" s="40"/>
      <c r="DB24" s="40"/>
      <c r="DC24" s="40"/>
      <c r="DD24" s="40"/>
      <c r="DE24" s="40"/>
      <c r="DF24" s="40"/>
      <c r="DG24" s="40"/>
      <c r="DH24" s="40"/>
      <c r="DI24" s="40"/>
      <c r="DJ24" s="40"/>
      <c r="DK24" s="40"/>
      <c r="DL24" s="40"/>
      <c r="DM24" s="40"/>
      <c r="DN24" s="40"/>
      <c r="DO24" s="40"/>
      <c r="DP24" s="40"/>
      <c r="DQ24" s="40"/>
      <c r="DR24" s="40"/>
      <c r="DS24" s="40"/>
      <c r="DT24" s="40"/>
      <c r="DU24" s="40"/>
      <c r="DV24" s="40"/>
      <c r="DW24" s="40"/>
      <c r="DX24" s="40"/>
      <c r="DY24" s="40"/>
      <c r="DZ24" s="40"/>
      <c r="EA24" s="40"/>
      <c r="EB24" s="40"/>
      <c r="EC24" s="40"/>
      <c r="ED24" s="40"/>
      <c r="EE24" s="40"/>
      <c r="EF24" s="40"/>
      <c r="EG24" s="40"/>
      <c r="EH24" s="40"/>
      <c r="EI24" s="40"/>
      <c r="EJ24" s="40"/>
      <c r="EK24" s="40"/>
    </row>
    <row r="25" spans="1:141" ht="13" customHeight="1">
      <c r="A25" s="41"/>
      <c r="B25" s="47" t="s">
        <v>185</v>
      </c>
      <c r="C25" s="45"/>
      <c r="D25" s="45"/>
      <c r="E25" s="45"/>
      <c r="F25" s="45"/>
      <c r="G25" s="44"/>
      <c r="H25" s="44"/>
      <c r="I25" s="44"/>
      <c r="J25" s="44"/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  <c r="AA25" s="44"/>
      <c r="AB25" s="44"/>
      <c r="AC25" s="44"/>
      <c r="AD25" s="44"/>
      <c r="AE25" s="44"/>
      <c r="AF25" s="44"/>
      <c r="AG25" s="44"/>
      <c r="AH25" s="44"/>
      <c r="AI25" s="44"/>
      <c r="AJ25" s="44"/>
      <c r="AK25" s="44"/>
      <c r="AL25" s="44"/>
      <c r="AM25" s="44"/>
      <c r="AN25" s="44"/>
      <c r="AO25" s="44"/>
      <c r="AP25" s="44"/>
      <c r="AQ25" s="44"/>
      <c r="AR25" s="44">
        <v>339</v>
      </c>
      <c r="AS25" s="44">
        <v>323</v>
      </c>
      <c r="AT25" s="44">
        <v>396</v>
      </c>
      <c r="AU25" s="44">
        <v>393</v>
      </c>
      <c r="AV25" s="44">
        <v>369</v>
      </c>
      <c r="AW25" s="44">
        <v>357</v>
      </c>
      <c r="AX25" s="44">
        <v>406</v>
      </c>
      <c r="AY25" s="44">
        <v>400</v>
      </c>
      <c r="AZ25" s="44">
        <v>340</v>
      </c>
      <c r="BA25" s="44">
        <v>375</v>
      </c>
      <c r="BB25" s="44">
        <v>347</v>
      </c>
      <c r="BC25" s="44">
        <v>147</v>
      </c>
      <c r="BD25" s="44">
        <v>162</v>
      </c>
      <c r="BE25" s="44">
        <v>166</v>
      </c>
      <c r="BF25" s="44">
        <v>162</v>
      </c>
      <c r="BG25" s="44">
        <v>177</v>
      </c>
      <c r="BH25" s="44">
        <v>162</v>
      </c>
      <c r="BI25" s="44">
        <v>194</v>
      </c>
      <c r="BJ25" s="44">
        <v>226</v>
      </c>
      <c r="BK25" s="44">
        <v>197</v>
      </c>
      <c r="BL25" s="44">
        <v>250</v>
      </c>
      <c r="BM25" s="44">
        <v>285</v>
      </c>
      <c r="BN25" s="44">
        <v>329</v>
      </c>
      <c r="BO25" s="55"/>
      <c r="BP25" s="44"/>
      <c r="BQ25" s="44"/>
      <c r="BR25" s="44"/>
      <c r="BS25" s="43"/>
      <c r="BT25" s="42"/>
      <c r="BU25" s="42"/>
      <c r="BV25" s="42"/>
      <c r="BW25" s="42"/>
      <c r="BX25" s="42"/>
      <c r="BY25" s="42"/>
      <c r="BZ25" s="42"/>
      <c r="CA25" s="42"/>
      <c r="CB25" s="42"/>
      <c r="CC25" s="42"/>
      <c r="CD25" s="44"/>
      <c r="CE25" s="44"/>
      <c r="CF25" s="44"/>
      <c r="CG25" s="42"/>
      <c r="CH25" s="42"/>
      <c r="CI25" s="42"/>
      <c r="CJ25" s="42"/>
      <c r="CK25" s="42"/>
      <c r="CL25" s="40"/>
      <c r="CM25" s="46"/>
      <c r="CN25" s="46"/>
      <c r="CO25" s="46"/>
      <c r="CP25" s="46">
        <f t="shared" si="32"/>
        <v>1462</v>
      </c>
      <c r="CQ25" s="46">
        <f t="shared" si="33"/>
        <v>637</v>
      </c>
      <c r="CR25" s="46">
        <f t="shared" si="34"/>
        <v>759</v>
      </c>
      <c r="CS25" s="46">
        <f t="shared" si="35"/>
        <v>1061</v>
      </c>
      <c r="CT25" s="46">
        <f t="shared" si="26"/>
        <v>0</v>
      </c>
      <c r="CU25" s="46"/>
      <c r="CV25" s="46"/>
      <c r="CW25" s="46"/>
      <c r="CX25" s="46"/>
      <c r="CY25" s="46"/>
      <c r="CZ25" s="46"/>
      <c r="DA25" s="40"/>
      <c r="DB25" s="40"/>
      <c r="DC25" s="40"/>
      <c r="DD25" s="40"/>
      <c r="DE25" s="40"/>
      <c r="DF25" s="40"/>
      <c r="DG25" s="40"/>
      <c r="DH25" s="40"/>
      <c r="DI25" s="40"/>
      <c r="DJ25" s="40"/>
      <c r="DK25" s="40"/>
      <c r="DL25" s="40"/>
      <c r="DM25" s="40"/>
      <c r="DN25" s="40"/>
      <c r="DO25" s="40"/>
      <c r="DP25" s="40"/>
      <c r="DQ25" s="40"/>
      <c r="DR25" s="40"/>
      <c r="DS25" s="40"/>
      <c r="DT25" s="40"/>
      <c r="DU25" s="40"/>
      <c r="DV25" s="40"/>
      <c r="DW25" s="40"/>
      <c r="DX25" s="40"/>
      <c r="DY25" s="40"/>
      <c r="DZ25" s="40"/>
      <c r="EA25" s="40"/>
      <c r="EB25" s="40"/>
      <c r="EC25" s="40"/>
      <c r="ED25" s="40"/>
      <c r="EE25" s="40"/>
      <c r="EF25" s="40"/>
      <c r="EG25" s="40"/>
      <c r="EH25" s="40"/>
      <c r="EI25" s="40"/>
      <c r="EJ25" s="40"/>
      <c r="EK25" s="40"/>
    </row>
    <row r="26" spans="1:141" ht="13" customHeight="1">
      <c r="A26" s="41"/>
      <c r="B26" s="47" t="s">
        <v>186</v>
      </c>
      <c r="C26" s="45"/>
      <c r="D26" s="45"/>
      <c r="E26" s="45"/>
      <c r="F26" s="45"/>
      <c r="G26" s="44"/>
      <c r="H26" s="44"/>
      <c r="I26" s="44"/>
      <c r="J26" s="44"/>
      <c r="K26" s="4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  <c r="AA26" s="44"/>
      <c r="AB26" s="44"/>
      <c r="AC26" s="44"/>
      <c r="AD26" s="44"/>
      <c r="AE26" s="44"/>
      <c r="AF26" s="44"/>
      <c r="AG26" s="44"/>
      <c r="AH26" s="44"/>
      <c r="AI26" s="44"/>
      <c r="AJ26" s="44"/>
      <c r="AK26" s="44"/>
      <c r="AL26" s="44"/>
      <c r="AM26" s="44"/>
      <c r="AN26" s="44"/>
      <c r="AO26" s="44"/>
      <c r="AP26" s="44"/>
      <c r="AQ26" s="44"/>
      <c r="AR26" s="44">
        <v>377</v>
      </c>
      <c r="AS26" s="44">
        <v>407</v>
      </c>
      <c r="AT26" s="44">
        <v>395</v>
      </c>
      <c r="AU26" s="44">
        <v>385</v>
      </c>
      <c r="AV26" s="44">
        <v>372</v>
      </c>
      <c r="AW26" s="44">
        <v>411</v>
      </c>
      <c r="AX26" s="44">
        <v>457</v>
      </c>
      <c r="AY26" s="44">
        <f>2810-AY25-AY23</f>
        <v>229</v>
      </c>
      <c r="AZ26" s="44">
        <f>2401-AZ23-AZ25</f>
        <v>233</v>
      </c>
      <c r="BA26" s="44">
        <f>2311-BA23-BA25</f>
        <v>262</v>
      </c>
      <c r="BB26" s="44">
        <f>2140-BB25-BB23</f>
        <v>273</v>
      </c>
      <c r="BC26" s="44">
        <f>2678-SUM(BC23:BC25)</f>
        <v>54</v>
      </c>
      <c r="BD26" s="44">
        <f>2723-BD25-BD24-BD23</f>
        <v>63</v>
      </c>
      <c r="BE26" s="44">
        <f>2326-BE25-BE24-BE23</f>
        <v>73</v>
      </c>
      <c r="BF26" s="44">
        <f>2490-BF25-BF24-BF23</f>
        <v>57</v>
      </c>
      <c r="BG26" s="44">
        <f>3077-SUM(BG23:BG25)</f>
        <v>64</v>
      </c>
      <c r="BH26" s="44">
        <f>2863-BH25-BH24-BH23</f>
        <v>64</v>
      </c>
      <c r="BI26" s="44">
        <f>2885-BI25-BI24-BI23</f>
        <v>71</v>
      </c>
      <c r="BJ26" s="44">
        <f>2881-BJ25-BJ24-BJ23</f>
        <v>102</v>
      </c>
      <c r="BK26" s="44">
        <f>3049-BK25-BK24-BK23</f>
        <v>91</v>
      </c>
      <c r="BL26" s="44">
        <f>2836-BL25-BL24-BL23</f>
        <v>104</v>
      </c>
      <c r="BM26" s="44">
        <f>2957-BM25-BM24-BM23</f>
        <v>45</v>
      </c>
      <c r="BN26" s="44">
        <f>2934-BN25-BN24-BN23</f>
        <v>95</v>
      </c>
      <c r="BO26" s="44">
        <v>2888</v>
      </c>
      <c r="BP26" s="44"/>
      <c r="BQ26" s="44"/>
      <c r="BR26" s="44"/>
      <c r="BS26" s="43"/>
      <c r="BT26" s="42"/>
      <c r="BU26" s="42"/>
      <c r="BV26" s="42"/>
      <c r="BW26" s="42"/>
      <c r="BX26" s="42"/>
      <c r="BY26" s="42"/>
      <c r="BZ26" s="42"/>
      <c r="CA26" s="42"/>
      <c r="CB26" s="42"/>
      <c r="CC26" s="42"/>
      <c r="CD26" s="44"/>
      <c r="CE26" s="44"/>
      <c r="CF26" s="44"/>
      <c r="CG26" s="42"/>
      <c r="CH26" s="42"/>
      <c r="CI26" s="42"/>
      <c r="CJ26" s="42"/>
      <c r="CK26" s="42"/>
      <c r="CL26" s="40"/>
      <c r="CM26" s="46"/>
      <c r="CN26" s="46"/>
      <c r="CO26" s="46"/>
      <c r="CP26" s="46">
        <f t="shared" si="32"/>
        <v>997</v>
      </c>
      <c r="CQ26" s="46">
        <f t="shared" si="33"/>
        <v>247</v>
      </c>
      <c r="CR26" s="46">
        <f t="shared" si="34"/>
        <v>301</v>
      </c>
      <c r="CS26" s="46">
        <f t="shared" si="35"/>
        <v>335</v>
      </c>
      <c r="CT26" s="46">
        <f t="shared" si="26"/>
        <v>2888</v>
      </c>
      <c r="CU26" s="46"/>
      <c r="CV26" s="46"/>
      <c r="CW26" s="46"/>
      <c r="CX26" s="46"/>
      <c r="CY26" s="46"/>
      <c r="CZ26" s="46"/>
      <c r="DA26" s="40"/>
      <c r="DB26" s="40"/>
      <c r="DC26" s="40"/>
      <c r="DD26" s="40"/>
      <c r="DE26" s="40"/>
      <c r="DF26" s="40"/>
      <c r="DG26" s="40"/>
      <c r="DH26" s="40"/>
      <c r="DI26" s="40"/>
      <c r="DJ26" s="40"/>
      <c r="DK26" s="40"/>
      <c r="DL26" s="40"/>
      <c r="DM26" s="40"/>
      <c r="DN26" s="40"/>
      <c r="DO26" s="40"/>
      <c r="DP26" s="40"/>
      <c r="DQ26" s="40"/>
      <c r="DR26" s="40"/>
      <c r="DS26" s="40"/>
      <c r="DT26" s="40"/>
      <c r="DU26" s="40"/>
      <c r="DV26" s="40"/>
      <c r="DW26" s="40"/>
      <c r="DX26" s="40"/>
      <c r="DY26" s="40"/>
      <c r="DZ26" s="40"/>
      <c r="EA26" s="40"/>
      <c r="EB26" s="40"/>
      <c r="EC26" s="40"/>
      <c r="ED26" s="40"/>
      <c r="EE26" s="40"/>
      <c r="EF26" s="40"/>
      <c r="EG26" s="40"/>
      <c r="EH26" s="40"/>
      <c r="EI26" s="40"/>
      <c r="EJ26" s="40"/>
      <c r="EK26" s="40"/>
    </row>
    <row r="27" spans="1:141" ht="13" customHeight="1">
      <c r="A27" s="41"/>
      <c r="B27" s="47" t="s">
        <v>187</v>
      </c>
      <c r="C27" s="45"/>
      <c r="D27" s="45"/>
      <c r="E27" s="45"/>
      <c r="F27" s="45"/>
      <c r="G27" s="44"/>
      <c r="H27" s="44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  <c r="AA27" s="44"/>
      <c r="AB27" s="44"/>
      <c r="AC27" s="44"/>
      <c r="AD27" s="44"/>
      <c r="AE27" s="44"/>
      <c r="AF27" s="44"/>
      <c r="AG27" s="44"/>
      <c r="AH27" s="44"/>
      <c r="AI27" s="44"/>
      <c r="AJ27" s="44"/>
      <c r="AK27" s="44"/>
      <c r="AL27" s="44"/>
      <c r="AM27" s="44"/>
      <c r="AN27" s="44"/>
      <c r="AO27" s="44"/>
      <c r="AP27" s="44"/>
      <c r="AQ27" s="44"/>
      <c r="AR27" s="44">
        <f>1703+2294-AR23-AR25</f>
        <v>1772</v>
      </c>
      <c r="AS27" s="44">
        <f>1688+2301-AS23-AS25</f>
        <v>1781</v>
      </c>
      <c r="AT27" s="44">
        <f>1962+2478-AT23-AT25</f>
        <v>2088</v>
      </c>
      <c r="AU27" s="44">
        <f>1555+2533-AU23-AU25</f>
        <v>1683</v>
      </c>
      <c r="AV27" s="44">
        <f>1758+2670-AV23-AV25</f>
        <v>1896</v>
      </c>
      <c r="AW27" s="44">
        <f>1886+2524-AW23-AW25</f>
        <v>2068</v>
      </c>
      <c r="AX27" s="44">
        <f>2076+2554-AX23-AX25</f>
        <v>2265</v>
      </c>
      <c r="AY27" s="44">
        <f>444+2030</f>
        <v>2474</v>
      </c>
      <c r="AZ27" s="44">
        <f>337+1952</f>
        <v>2289</v>
      </c>
      <c r="BA27" s="44">
        <f>1890+380</f>
        <v>2270</v>
      </c>
      <c r="BB27" s="44">
        <f>1832+399</f>
        <v>2231</v>
      </c>
      <c r="BC27" s="44">
        <f>1920+379</f>
        <v>2299</v>
      </c>
      <c r="BD27" s="44">
        <f>424+1859</f>
        <v>2283</v>
      </c>
      <c r="BE27" s="44">
        <f>376+1805</f>
        <v>2181</v>
      </c>
      <c r="BF27" s="44">
        <f>1719+504</f>
        <v>2223</v>
      </c>
      <c r="BG27" s="44">
        <f>1820+466</f>
        <v>2286</v>
      </c>
      <c r="BH27" s="44">
        <f>1923+432</f>
        <v>2355</v>
      </c>
      <c r="BI27" s="44">
        <f>430+1793</f>
        <v>2223</v>
      </c>
      <c r="BJ27" s="44">
        <f>370+1602</f>
        <v>1972</v>
      </c>
      <c r="BK27" s="44">
        <f>399+1128</f>
        <v>1527</v>
      </c>
      <c r="BL27" s="44">
        <f>902+376</f>
        <v>1278</v>
      </c>
      <c r="BM27" s="44">
        <f>542+403</f>
        <v>945</v>
      </c>
      <c r="BN27" s="44">
        <f>1264+373</f>
        <v>1637</v>
      </c>
      <c r="BO27" s="44">
        <f>1113+383</f>
        <v>1496</v>
      </c>
      <c r="BP27" s="44"/>
      <c r="BQ27" s="44"/>
      <c r="BR27" s="44"/>
      <c r="BS27" s="43"/>
      <c r="BT27" s="42"/>
      <c r="BU27" s="42"/>
      <c r="BV27" s="42"/>
      <c r="BW27" s="42"/>
      <c r="BX27" s="42"/>
      <c r="BY27" s="42"/>
      <c r="BZ27" s="42"/>
      <c r="CA27" s="42"/>
      <c r="CB27" s="42"/>
      <c r="CC27" s="42"/>
      <c r="CD27" s="44"/>
      <c r="CE27" s="44"/>
      <c r="CF27" s="44"/>
      <c r="CG27" s="42"/>
      <c r="CH27" s="42"/>
      <c r="CI27" s="42"/>
      <c r="CJ27" s="42"/>
      <c r="CK27" s="42"/>
      <c r="CL27" s="40"/>
      <c r="CM27" s="46"/>
      <c r="CN27" s="46"/>
      <c r="CO27" s="46"/>
      <c r="CP27" s="46">
        <f t="shared" si="32"/>
        <v>9264</v>
      </c>
      <c r="CQ27" s="46">
        <f t="shared" si="33"/>
        <v>8986</v>
      </c>
      <c r="CR27" s="46">
        <f t="shared" si="34"/>
        <v>8836</v>
      </c>
      <c r="CS27" s="46">
        <f t="shared" si="35"/>
        <v>5387</v>
      </c>
      <c r="CT27" s="46">
        <f t="shared" si="26"/>
        <v>1496</v>
      </c>
      <c r="CU27" s="46"/>
      <c r="CV27" s="46"/>
      <c r="CW27" s="46"/>
      <c r="CX27" s="46"/>
      <c r="CY27" s="46"/>
      <c r="CZ27" s="46"/>
      <c r="DA27" s="40"/>
      <c r="DB27" s="40"/>
      <c r="DC27" s="40"/>
      <c r="DD27" s="40"/>
      <c r="DE27" s="40"/>
      <c r="DF27" s="40"/>
      <c r="DG27" s="40"/>
      <c r="DH27" s="40"/>
      <c r="DI27" s="40"/>
      <c r="DJ27" s="40"/>
      <c r="DK27" s="40"/>
      <c r="DL27" s="40"/>
      <c r="DM27" s="40"/>
      <c r="DN27" s="40"/>
      <c r="DO27" s="40"/>
      <c r="DP27" s="40"/>
      <c r="DQ27" s="40"/>
      <c r="DR27" s="40"/>
      <c r="DS27" s="40"/>
      <c r="DT27" s="40"/>
      <c r="DU27" s="40"/>
      <c r="DV27" s="40"/>
      <c r="DW27" s="40"/>
      <c r="DX27" s="40"/>
      <c r="DY27" s="40"/>
      <c r="DZ27" s="40"/>
      <c r="EA27" s="40"/>
      <c r="EB27" s="40"/>
      <c r="EC27" s="40"/>
      <c r="ED27" s="40"/>
      <c r="EE27" s="40"/>
      <c r="EF27" s="40"/>
      <c r="EG27" s="40"/>
      <c r="EH27" s="40"/>
      <c r="EI27" s="40"/>
      <c r="EJ27" s="40"/>
      <c r="EK27" s="40"/>
    </row>
    <row r="28" spans="1:141" ht="13" customHeight="1">
      <c r="A28" s="41"/>
      <c r="B28" s="47" t="s">
        <v>23</v>
      </c>
      <c r="C28" s="45">
        <v>878</v>
      </c>
      <c r="D28" s="45">
        <v>986</v>
      </c>
      <c r="E28" s="45">
        <v>941</v>
      </c>
      <c r="F28" s="45">
        <v>1060</v>
      </c>
      <c r="G28" s="44">
        <v>1034</v>
      </c>
      <c r="H28" s="44">
        <v>1122</v>
      </c>
      <c r="I28" s="44">
        <v>1074</v>
      </c>
      <c r="J28" s="44">
        <f>4401-I28-H28-G28</f>
        <v>1171</v>
      </c>
      <c r="K28" s="44">
        <v>1083</v>
      </c>
      <c r="L28" s="44">
        <v>1245</v>
      </c>
      <c r="M28" s="44">
        <v>1233</v>
      </c>
      <c r="N28" s="44">
        <f>4803-M28-L28-K28</f>
        <v>1242</v>
      </c>
      <c r="O28" s="44">
        <v>1252</v>
      </c>
      <c r="P28" s="44"/>
      <c r="Q28" s="44"/>
      <c r="R28" s="44"/>
      <c r="S28" s="44"/>
      <c r="T28" s="44"/>
      <c r="U28" s="44"/>
      <c r="V28" s="44"/>
      <c r="W28" s="44">
        <v>1537</v>
      </c>
      <c r="X28" s="44">
        <v>1479</v>
      </c>
      <c r="Y28" s="44">
        <v>1436</v>
      </c>
      <c r="Z28" s="44">
        <v>1662</v>
      </c>
      <c r="AA28" s="44">
        <v>1500</v>
      </c>
      <c r="AB28" s="44">
        <f>3009-AA28</f>
        <v>1509</v>
      </c>
      <c r="AC28" s="44"/>
      <c r="AD28" s="44"/>
      <c r="AE28" s="44">
        <v>1830</v>
      </c>
      <c r="AF28" s="44">
        <v>2083</v>
      </c>
      <c r="AG28" s="44">
        <v>1842</v>
      </c>
      <c r="AH28" s="44">
        <v>2065</v>
      </c>
      <c r="AI28" s="44">
        <v>2407</v>
      </c>
      <c r="AJ28" s="44">
        <v>2158</v>
      </c>
      <c r="AK28" s="44">
        <v>2003</v>
      </c>
      <c r="AL28" s="44">
        <v>2202</v>
      </c>
      <c r="AM28" s="44"/>
      <c r="AN28" s="44"/>
      <c r="AO28" s="44"/>
      <c r="AP28" s="44"/>
      <c r="AQ28" s="44"/>
      <c r="AR28" s="44"/>
      <c r="AS28" s="44"/>
      <c r="AT28" s="44"/>
      <c r="AU28" s="44"/>
      <c r="AV28" s="44"/>
      <c r="AW28" s="44"/>
      <c r="AX28" s="44"/>
      <c r="AY28" s="44"/>
      <c r="AZ28" s="44"/>
      <c r="BA28" s="44"/>
      <c r="BB28" s="44"/>
      <c r="BC28" s="44"/>
      <c r="BD28" s="44"/>
      <c r="BE28" s="44"/>
      <c r="BF28" s="44"/>
      <c r="BG28" s="44"/>
      <c r="BH28" s="44"/>
      <c r="BI28" s="44"/>
      <c r="BJ28" s="44"/>
      <c r="BK28" s="44"/>
      <c r="BL28" s="44"/>
      <c r="BM28" s="44"/>
      <c r="BN28" s="44"/>
      <c r="BO28" s="44"/>
      <c r="BP28" s="44"/>
      <c r="BQ28" s="44"/>
      <c r="BR28" s="44"/>
      <c r="BS28" s="43"/>
      <c r="BT28" s="42"/>
      <c r="BU28" s="42"/>
      <c r="BV28" s="42"/>
      <c r="BW28" s="42"/>
      <c r="BX28" s="42"/>
      <c r="BY28" s="42"/>
      <c r="BZ28" s="42"/>
      <c r="CA28" s="42"/>
      <c r="CB28" s="42"/>
      <c r="CC28" s="42"/>
      <c r="CD28" s="44">
        <f t="shared" si="12"/>
        <v>3865</v>
      </c>
      <c r="CE28" s="44">
        <f t="shared" si="27"/>
        <v>4401</v>
      </c>
      <c r="CF28" s="44">
        <f t="shared" ref="CF28:CF30" si="36">SUM(K28:N28)</f>
        <v>4803</v>
      </c>
      <c r="CG28" s="44">
        <v>5047</v>
      </c>
      <c r="CH28" s="44">
        <v>5698</v>
      </c>
      <c r="CI28" s="42"/>
      <c r="CJ28" s="42"/>
      <c r="CK28" s="42"/>
      <c r="CL28" s="40"/>
      <c r="CM28" s="46"/>
      <c r="CN28" s="46"/>
      <c r="CO28" s="46"/>
      <c r="CP28" s="46">
        <f t="shared" si="32"/>
        <v>0</v>
      </c>
      <c r="CQ28" s="46">
        <f t="shared" si="33"/>
        <v>0</v>
      </c>
      <c r="CR28" s="46">
        <f t="shared" si="34"/>
        <v>0</v>
      </c>
      <c r="CS28" s="46">
        <f t="shared" si="35"/>
        <v>0</v>
      </c>
      <c r="CT28" s="46">
        <f t="shared" si="26"/>
        <v>0</v>
      </c>
      <c r="CU28" s="46"/>
      <c r="CV28" s="46"/>
      <c r="CW28" s="46"/>
      <c r="CX28" s="46"/>
      <c r="CY28" s="46"/>
      <c r="CZ28" s="46"/>
      <c r="DA28" s="40"/>
      <c r="DB28" s="40"/>
      <c r="DC28" s="40"/>
      <c r="DD28" s="40"/>
      <c r="DE28" s="40"/>
      <c r="DF28" s="40"/>
      <c r="DG28" s="40"/>
      <c r="DH28" s="40"/>
      <c r="DI28" s="40"/>
      <c r="DJ28" s="40"/>
      <c r="DK28" s="40"/>
      <c r="DL28" s="40"/>
      <c r="DM28" s="40"/>
      <c r="DN28" s="40"/>
      <c r="DO28" s="40"/>
      <c r="DP28" s="40"/>
      <c r="DQ28" s="40"/>
      <c r="DR28" s="40"/>
      <c r="DS28" s="40"/>
      <c r="DT28" s="40"/>
      <c r="DU28" s="40"/>
      <c r="DV28" s="40"/>
      <c r="DW28" s="40"/>
      <c r="DX28" s="40"/>
      <c r="DY28" s="40"/>
      <c r="DZ28" s="40"/>
      <c r="EA28" s="40"/>
      <c r="EB28" s="40"/>
      <c r="EC28" s="40"/>
      <c r="ED28" s="40"/>
      <c r="EE28" s="40"/>
      <c r="EF28" s="40"/>
      <c r="EG28" s="40"/>
      <c r="EH28" s="40"/>
      <c r="EI28" s="40"/>
      <c r="EJ28" s="40"/>
      <c r="EK28" s="40"/>
    </row>
    <row r="29" spans="1:141" ht="13" customHeight="1">
      <c r="A29" s="41"/>
      <c r="B29" s="47" t="s">
        <v>133</v>
      </c>
      <c r="C29" s="45">
        <v>385</v>
      </c>
      <c r="D29" s="45">
        <v>391</v>
      </c>
      <c r="E29" s="45">
        <v>394</v>
      </c>
      <c r="F29" s="45">
        <v>442</v>
      </c>
      <c r="G29" s="44">
        <v>409</v>
      </c>
      <c r="H29" s="44">
        <v>435</v>
      </c>
      <c r="I29" s="44">
        <v>440</v>
      </c>
      <c r="J29" s="44">
        <f>2103-I29-H29-G29-SUM(G30:I30)</f>
        <v>545</v>
      </c>
      <c r="K29" s="44">
        <v>443</v>
      </c>
      <c r="L29" s="44">
        <v>450</v>
      </c>
      <c r="M29" s="44">
        <v>517</v>
      </c>
      <c r="N29" s="44">
        <v>482</v>
      </c>
      <c r="O29" s="44">
        <v>601</v>
      </c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  <c r="AA29" s="44"/>
      <c r="AB29" s="44"/>
      <c r="AC29" s="44"/>
      <c r="AD29" s="44"/>
      <c r="AE29" s="44"/>
      <c r="AF29" s="44"/>
      <c r="AG29" s="44"/>
      <c r="AH29" s="44"/>
      <c r="AI29" s="44"/>
      <c r="AJ29" s="44"/>
      <c r="AK29" s="44"/>
      <c r="AL29" s="44"/>
      <c r="AM29" s="44"/>
      <c r="AN29" s="44"/>
      <c r="AO29" s="44"/>
      <c r="AP29" s="44"/>
      <c r="AQ29" s="44"/>
      <c r="AR29" s="44"/>
      <c r="AS29" s="44"/>
      <c r="AT29" s="44"/>
      <c r="AU29" s="44"/>
      <c r="AV29" s="44"/>
      <c r="AW29" s="44"/>
      <c r="AX29" s="44"/>
      <c r="AY29" s="44"/>
      <c r="AZ29" s="44"/>
      <c r="BA29" s="44"/>
      <c r="BB29" s="44"/>
      <c r="BC29" s="44"/>
      <c r="BD29" s="44"/>
      <c r="BE29" s="44"/>
      <c r="BF29" s="44"/>
      <c r="BG29" s="44"/>
      <c r="BH29" s="44"/>
      <c r="BI29" s="44"/>
      <c r="BJ29" s="44"/>
      <c r="BK29" s="44"/>
      <c r="BL29" s="44"/>
      <c r="BM29" s="44"/>
      <c r="BN29" s="44"/>
      <c r="BO29" s="44"/>
      <c r="BP29" s="44"/>
      <c r="BQ29" s="44"/>
      <c r="BR29" s="44"/>
      <c r="BS29" s="43"/>
      <c r="BT29" s="42"/>
      <c r="BU29" s="42"/>
      <c r="BV29" s="42"/>
      <c r="BW29" s="42"/>
      <c r="BX29" s="42"/>
      <c r="BY29" s="42"/>
      <c r="BZ29" s="42"/>
      <c r="CA29" s="42"/>
      <c r="CB29" s="42"/>
      <c r="CC29" s="42"/>
      <c r="CD29" s="44">
        <f t="shared" si="12"/>
        <v>1612</v>
      </c>
      <c r="CE29" s="44">
        <v>1744</v>
      </c>
      <c r="CF29" s="44">
        <f t="shared" si="36"/>
        <v>1892</v>
      </c>
      <c r="CG29" s="44">
        <v>2054</v>
      </c>
      <c r="CH29" s="44">
        <v>2163</v>
      </c>
      <c r="CI29" s="42"/>
      <c r="CJ29" s="42"/>
      <c r="CK29" s="42"/>
      <c r="CL29" s="40"/>
      <c r="CM29" s="46"/>
      <c r="CN29" s="46"/>
      <c r="CO29" s="46"/>
      <c r="CP29" s="46">
        <f t="shared" si="32"/>
        <v>0</v>
      </c>
      <c r="CQ29" s="46">
        <f t="shared" si="33"/>
        <v>0</v>
      </c>
      <c r="CR29" s="46">
        <f t="shared" si="34"/>
        <v>0</v>
      </c>
      <c r="CS29" s="46">
        <f t="shared" si="35"/>
        <v>0</v>
      </c>
      <c r="CT29" s="46">
        <f t="shared" si="26"/>
        <v>0</v>
      </c>
      <c r="CU29" s="46"/>
      <c r="CV29" s="46"/>
      <c r="CW29" s="46"/>
      <c r="CX29" s="46"/>
      <c r="CY29" s="46"/>
      <c r="CZ29" s="46"/>
      <c r="DA29" s="40"/>
      <c r="DB29" s="40"/>
      <c r="DC29" s="40"/>
      <c r="DD29" s="40"/>
      <c r="DE29" s="40"/>
      <c r="DF29" s="40"/>
      <c r="DG29" s="40"/>
      <c r="DH29" s="40"/>
      <c r="DI29" s="40"/>
      <c r="DJ29" s="40"/>
      <c r="DK29" s="40"/>
      <c r="DL29" s="40"/>
      <c r="DM29" s="40"/>
      <c r="DN29" s="40"/>
      <c r="DO29" s="40"/>
      <c r="DP29" s="40"/>
      <c r="DQ29" s="40"/>
      <c r="DR29" s="40"/>
      <c r="DS29" s="40"/>
      <c r="DT29" s="40"/>
      <c r="DU29" s="40"/>
      <c r="DV29" s="40"/>
      <c r="DW29" s="40"/>
      <c r="DX29" s="40"/>
      <c r="DY29" s="40"/>
      <c r="DZ29" s="40"/>
      <c r="EA29" s="40"/>
      <c r="EB29" s="40"/>
      <c r="EC29" s="40"/>
      <c r="ED29" s="40"/>
      <c r="EE29" s="40"/>
      <c r="EF29" s="40"/>
      <c r="EG29" s="40"/>
      <c r="EH29" s="40"/>
      <c r="EI29" s="40"/>
      <c r="EJ29" s="40"/>
      <c r="EK29" s="40"/>
    </row>
    <row r="30" spans="1:141" ht="13" customHeight="1">
      <c r="A30" s="41"/>
      <c r="B30" s="47" t="s">
        <v>134</v>
      </c>
      <c r="C30" s="45">
        <v>68</v>
      </c>
      <c r="D30" s="45">
        <v>78</v>
      </c>
      <c r="E30" s="45">
        <v>71</v>
      </c>
      <c r="F30" s="45">
        <v>107</v>
      </c>
      <c r="G30" s="44">
        <v>81</v>
      </c>
      <c r="H30" s="44">
        <v>110</v>
      </c>
      <c r="I30" s="44">
        <v>83</v>
      </c>
      <c r="J30" s="44"/>
      <c r="K30" s="44">
        <f>524-K29</f>
        <v>81</v>
      </c>
      <c r="L30" s="44">
        <v>70</v>
      </c>
      <c r="M30" s="44">
        <v>83</v>
      </c>
      <c r="N30" s="44">
        <v>107</v>
      </c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  <c r="AA30" s="44">
        <v>637</v>
      </c>
      <c r="AB30" s="44">
        <f>1408-AA30</f>
        <v>771</v>
      </c>
      <c r="AC30" s="44"/>
      <c r="AD30" s="44"/>
      <c r="AE30" s="44">
        <v>818</v>
      </c>
      <c r="AF30" s="44">
        <v>940</v>
      </c>
      <c r="AG30" s="44">
        <v>1028</v>
      </c>
      <c r="AH30" s="44">
        <v>1084</v>
      </c>
      <c r="AI30" s="44">
        <v>938</v>
      </c>
      <c r="AJ30" s="44">
        <v>972</v>
      </c>
      <c r="AK30" s="44">
        <v>957</v>
      </c>
      <c r="AL30" s="44">
        <v>722</v>
      </c>
      <c r="AM30" s="44"/>
      <c r="AN30" s="44"/>
      <c r="AO30" s="44"/>
      <c r="AP30" s="44"/>
      <c r="AQ30" s="44"/>
      <c r="AR30" s="44"/>
      <c r="AS30" s="44"/>
      <c r="AT30" s="44"/>
      <c r="AU30" s="44"/>
      <c r="AV30" s="44"/>
      <c r="AW30" s="44"/>
      <c r="AX30" s="44"/>
      <c r="AY30" s="44"/>
      <c r="AZ30" s="44"/>
      <c r="BA30" s="44"/>
      <c r="BB30" s="44"/>
      <c r="BC30" s="44"/>
      <c r="BD30" s="44"/>
      <c r="BE30" s="44"/>
      <c r="BF30" s="44"/>
      <c r="BG30" s="44"/>
      <c r="BH30" s="44"/>
      <c r="BI30" s="44"/>
      <c r="BJ30" s="44"/>
      <c r="BK30" s="44"/>
      <c r="BL30" s="44"/>
      <c r="BM30" s="44"/>
      <c r="BN30" s="44"/>
      <c r="BO30" s="44"/>
      <c r="BP30" s="44"/>
      <c r="BQ30" s="44"/>
      <c r="BR30" s="44"/>
      <c r="BS30" s="43"/>
      <c r="BT30" s="42"/>
      <c r="BU30" s="42"/>
      <c r="BV30" s="42"/>
      <c r="BW30" s="42"/>
      <c r="BX30" s="42"/>
      <c r="BY30" s="42"/>
      <c r="BZ30" s="42"/>
      <c r="CA30" s="42"/>
      <c r="CB30" s="42"/>
      <c r="CC30" s="42"/>
      <c r="CD30" s="44">
        <f t="shared" si="12"/>
        <v>324</v>
      </c>
      <c r="CE30" s="44">
        <v>359</v>
      </c>
      <c r="CF30" s="44">
        <f t="shared" si="36"/>
        <v>341</v>
      </c>
      <c r="CG30" s="44">
        <v>473</v>
      </c>
      <c r="CH30" s="42">
        <v>345</v>
      </c>
      <c r="CI30" s="42"/>
      <c r="CJ30" s="42"/>
      <c r="CK30" s="42"/>
      <c r="CL30" s="40"/>
      <c r="CM30" s="46"/>
      <c r="CN30" s="46"/>
      <c r="CO30" s="46"/>
      <c r="CP30" s="46">
        <f t="shared" si="32"/>
        <v>0</v>
      </c>
      <c r="CQ30" s="46">
        <f t="shared" si="33"/>
        <v>0</v>
      </c>
      <c r="CR30" s="46">
        <f t="shared" si="34"/>
        <v>0</v>
      </c>
      <c r="CS30" s="46">
        <f t="shared" si="35"/>
        <v>0</v>
      </c>
      <c r="CT30" s="46">
        <f>SUM(BO30:BR30)</f>
        <v>0</v>
      </c>
      <c r="CU30" s="46"/>
      <c r="CV30" s="46"/>
      <c r="CW30" s="46"/>
      <c r="CX30" s="46"/>
      <c r="CY30" s="46"/>
      <c r="CZ30" s="46"/>
      <c r="DA30" s="40"/>
      <c r="DB30" s="40"/>
      <c r="DC30" s="40"/>
      <c r="DD30" s="40"/>
      <c r="DE30" s="40"/>
      <c r="DF30" s="40"/>
      <c r="DG30" s="40"/>
      <c r="DH30" s="40"/>
      <c r="DI30" s="40"/>
      <c r="DJ30" s="40"/>
      <c r="DK30" s="40"/>
      <c r="DL30" s="40"/>
      <c r="DM30" s="40"/>
      <c r="DN30" s="40"/>
      <c r="DO30" s="40"/>
      <c r="DP30" s="40"/>
      <c r="DQ30" s="40"/>
      <c r="DR30" s="40"/>
      <c r="DS30" s="40"/>
      <c r="DT30" s="40"/>
      <c r="DU30" s="40"/>
      <c r="DV30" s="40"/>
      <c r="DW30" s="40"/>
      <c r="DX30" s="40"/>
      <c r="DY30" s="40"/>
      <c r="DZ30" s="40"/>
      <c r="EA30" s="40"/>
      <c r="EB30" s="40"/>
      <c r="EC30" s="40"/>
      <c r="ED30" s="40"/>
      <c r="EE30" s="40"/>
      <c r="EF30" s="40"/>
      <c r="EG30" s="40"/>
      <c r="EH30" s="40"/>
      <c r="EI30" s="40"/>
      <c r="EJ30" s="40"/>
      <c r="EK30" s="40"/>
    </row>
    <row r="31" spans="1:141" s="12" customFormat="1" ht="13" customHeight="1">
      <c r="A31" s="8"/>
      <c r="B31" s="9" t="s">
        <v>205</v>
      </c>
      <c r="C31" s="15">
        <f t="shared" ref="C31:O31" si="37">SUM(C10:C30)</f>
        <v>10614</v>
      </c>
      <c r="D31" s="15">
        <f t="shared" si="37"/>
        <v>11110</v>
      </c>
      <c r="E31" s="15">
        <f t="shared" si="37"/>
        <v>11246</v>
      </c>
      <c r="F31" s="15">
        <f t="shared" si="37"/>
        <v>12583</v>
      </c>
      <c r="G31" s="15">
        <f t="shared" si="37"/>
        <v>12498</v>
      </c>
      <c r="H31" s="15">
        <f t="shared" si="37"/>
        <v>13001</v>
      </c>
      <c r="I31" s="15">
        <f t="shared" si="37"/>
        <v>12545</v>
      </c>
      <c r="J31" s="15">
        <f t="shared" si="37"/>
        <v>13121</v>
      </c>
      <c r="K31" s="15">
        <f t="shared" si="37"/>
        <v>13674</v>
      </c>
      <c r="L31" s="15">
        <f t="shared" si="37"/>
        <v>15394</v>
      </c>
      <c r="M31" s="15">
        <f t="shared" si="37"/>
        <v>15584</v>
      </c>
      <c r="N31" s="15">
        <f t="shared" si="37"/>
        <v>16124</v>
      </c>
      <c r="O31" s="15">
        <f t="shared" si="37"/>
        <v>15693</v>
      </c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>
        <f>SUM(AA10:AA30)</f>
        <v>20343</v>
      </c>
      <c r="AB31" s="15">
        <f>SUM(AB10:AB30)</f>
        <v>21629</v>
      </c>
      <c r="AC31" s="15">
        <f t="shared" ref="AC31:AQ31" si="38">SUM(AC10:AC30)</f>
        <v>0</v>
      </c>
      <c r="AD31" s="15">
        <f t="shared" si="38"/>
        <v>0</v>
      </c>
      <c r="AE31" s="15">
        <f t="shared" si="38"/>
        <v>24929</v>
      </c>
      <c r="AF31" s="15">
        <f t="shared" si="38"/>
        <v>26729</v>
      </c>
      <c r="AG31" s="15">
        <f t="shared" si="38"/>
        <v>26416</v>
      </c>
      <c r="AH31" s="15">
        <f t="shared" si="38"/>
        <v>28415</v>
      </c>
      <c r="AI31" s="15">
        <f t="shared" si="38"/>
        <v>26586</v>
      </c>
      <c r="AJ31" s="15">
        <f t="shared" si="38"/>
        <v>26476</v>
      </c>
      <c r="AK31" s="15">
        <f t="shared" si="38"/>
        <v>26394</v>
      </c>
      <c r="AL31" s="15">
        <f t="shared" si="38"/>
        <v>27865</v>
      </c>
      <c r="AM31" s="15">
        <f t="shared" si="38"/>
        <v>0</v>
      </c>
      <c r="AN31" s="15">
        <f t="shared" si="38"/>
        <v>0</v>
      </c>
      <c r="AO31" s="15">
        <f t="shared" si="38"/>
        <v>0</v>
      </c>
      <c r="AP31" s="15">
        <f t="shared" si="38"/>
        <v>0</v>
      </c>
      <c r="AQ31" s="15">
        <f t="shared" si="38"/>
        <v>0</v>
      </c>
      <c r="AR31" s="15">
        <f>SUM(AR12:AR30)</f>
        <v>27407</v>
      </c>
      <c r="AS31" s="15">
        <f>SUM(AS12:AS30)</f>
        <v>27762</v>
      </c>
      <c r="AT31" s="15">
        <f>SUM(AT12:AT30)</f>
        <v>29732</v>
      </c>
      <c r="AU31" s="15">
        <f t="shared" ref="AU31:BI31" si="39">SUM(AU12:AU27)</f>
        <v>29291</v>
      </c>
      <c r="AV31" s="15">
        <f t="shared" si="39"/>
        <v>30036</v>
      </c>
      <c r="AW31" s="15">
        <f t="shared" si="39"/>
        <v>30277</v>
      </c>
      <c r="AX31" s="15">
        <f t="shared" si="39"/>
        <v>32417</v>
      </c>
      <c r="AY31" s="15">
        <f t="shared" si="39"/>
        <v>33875</v>
      </c>
      <c r="AZ31" s="15">
        <f t="shared" si="39"/>
        <v>30006</v>
      </c>
      <c r="BA31" s="15">
        <f t="shared" si="39"/>
        <v>30927</v>
      </c>
      <c r="BB31" s="15">
        <f t="shared" si="39"/>
        <v>32138</v>
      </c>
      <c r="BC31" s="15">
        <f t="shared" si="39"/>
        <v>33804</v>
      </c>
      <c r="BD31" s="15">
        <f t="shared" si="39"/>
        <v>33041</v>
      </c>
      <c r="BE31" s="15">
        <f t="shared" si="39"/>
        <v>35622</v>
      </c>
      <c r="BF31" s="15">
        <f t="shared" si="39"/>
        <v>38333</v>
      </c>
      <c r="BG31" s="15">
        <f t="shared" si="39"/>
        <v>42031</v>
      </c>
      <c r="BH31" s="15">
        <f t="shared" si="39"/>
        <v>41265</v>
      </c>
      <c r="BI31" s="15">
        <f t="shared" si="39"/>
        <v>45566</v>
      </c>
      <c r="BJ31" s="15">
        <f>SUM(BJ12:BJ27)</f>
        <v>48092</v>
      </c>
      <c r="BK31" s="15">
        <f>SUM(BK12:BK27)</f>
        <v>53367</v>
      </c>
      <c r="BL31" s="15">
        <f>SUM(BL12:BL27)</f>
        <v>54300</v>
      </c>
      <c r="BM31" s="15">
        <f>SUM(BM12:BM27)</f>
        <v>58731</v>
      </c>
      <c r="BN31" s="15">
        <f>SUM(BN12:BN27)</f>
        <v>65863</v>
      </c>
      <c r="BO31" s="15">
        <f>SUM(BO12:BO27)</f>
        <v>65349</v>
      </c>
      <c r="BP31" s="15">
        <f>SUM(BP12:BP27)</f>
        <v>0</v>
      </c>
      <c r="BQ31" s="15">
        <f>SUM(BQ12:BQ27)</f>
        <v>0</v>
      </c>
      <c r="BR31" s="15">
        <f>SUM(BR12:BR27)</f>
        <v>0</v>
      </c>
      <c r="BS31" s="13"/>
      <c r="BT31" s="13">
        <v>13647</v>
      </c>
      <c r="BU31" s="13">
        <v>16423</v>
      </c>
      <c r="BV31" s="13">
        <v>20485</v>
      </c>
      <c r="BW31" s="13">
        <v>23385</v>
      </c>
      <c r="BX31" s="13">
        <v>24866</v>
      </c>
      <c r="BY31" s="13"/>
      <c r="BZ31" s="13"/>
      <c r="CA31" s="13"/>
      <c r="CB31" s="13"/>
      <c r="CC31" s="13"/>
      <c r="CD31" s="13">
        <f>SUM(CD10:CD30)</f>
        <v>45553</v>
      </c>
      <c r="CE31" s="13">
        <f>SUM(CE10:CE30)</f>
        <v>51165</v>
      </c>
      <c r="CF31" s="13">
        <f>SUM(CF10:CF30)</f>
        <v>60776</v>
      </c>
      <c r="CG31" s="13">
        <f>SUM(CG10:CG30)</f>
        <v>66346</v>
      </c>
      <c r="CH31" s="13">
        <f>SUM(CH10:CH30)</f>
        <v>78026</v>
      </c>
      <c r="CI31" s="13">
        <v>83572</v>
      </c>
      <c r="CJ31" s="13">
        <v>88806</v>
      </c>
      <c r="CK31" s="59">
        <v>107927</v>
      </c>
      <c r="CL31" s="59">
        <v>111780</v>
      </c>
      <c r="CM31" s="59">
        <v>111696</v>
      </c>
      <c r="CN31" s="59">
        <v>111831</v>
      </c>
      <c r="CO31" s="59">
        <v>122021</v>
      </c>
      <c r="CP31" s="59">
        <f>SUM(CP12:CP30)</f>
        <v>126946</v>
      </c>
      <c r="CQ31" s="59">
        <f>SUM(CQ12:CQ30)</f>
        <v>140800</v>
      </c>
      <c r="CR31" s="59">
        <f>SUM(CR12:CR30)</f>
        <v>176954</v>
      </c>
      <c r="CS31" s="59">
        <f>SUM(CS12:CS30)</f>
        <v>232261</v>
      </c>
      <c r="CT31" s="59">
        <f>SUM(CT12:CT30)</f>
        <v>65349</v>
      </c>
      <c r="CU31" s="59">
        <f t="shared" ref="CU31:CZ31" si="40">SUM(CU12:CU30)</f>
        <v>0</v>
      </c>
      <c r="CV31" s="59">
        <f t="shared" si="40"/>
        <v>0</v>
      </c>
      <c r="CW31" s="59">
        <f t="shared" si="40"/>
        <v>0</v>
      </c>
      <c r="CX31" s="59">
        <f t="shared" si="40"/>
        <v>0</v>
      </c>
      <c r="CY31" s="59">
        <f t="shared" si="40"/>
        <v>0</v>
      </c>
      <c r="CZ31" s="59">
        <f t="shared" si="40"/>
        <v>0</v>
      </c>
    </row>
    <row r="32" spans="1:141" ht="13" customHeight="1">
      <c r="A32" s="41"/>
      <c r="B32" s="47" t="s">
        <v>135</v>
      </c>
      <c r="C32" s="44">
        <f t="shared" ref="C32:J32" si="41">C31-C33</f>
        <v>2413</v>
      </c>
      <c r="D32" s="44">
        <f t="shared" si="41"/>
        <v>2554</v>
      </c>
      <c r="E32" s="44">
        <f t="shared" si="41"/>
        <v>2606</v>
      </c>
      <c r="F32" s="44">
        <f t="shared" si="41"/>
        <v>2536</v>
      </c>
      <c r="G32" s="44">
        <f t="shared" si="41"/>
        <v>2508</v>
      </c>
      <c r="H32" s="44">
        <f t="shared" si="41"/>
        <v>2610</v>
      </c>
      <c r="I32" s="44">
        <f t="shared" si="41"/>
        <v>2713</v>
      </c>
      <c r="J32" s="44">
        <f t="shared" si="41"/>
        <v>2694</v>
      </c>
      <c r="K32" s="44">
        <f>+K31-K33</f>
        <v>2690</v>
      </c>
      <c r="L32" s="44">
        <f>+L31-L33</f>
        <v>2969</v>
      </c>
      <c r="M32" s="44">
        <f>+M31-M33</f>
        <v>2936</v>
      </c>
      <c r="N32" s="44">
        <f>+N31-N33</f>
        <v>3224.7999999999993</v>
      </c>
      <c r="O32" s="44">
        <f>O31-O33</f>
        <v>3117</v>
      </c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  <c r="AA32" s="44"/>
      <c r="AB32" s="44">
        <f>+AB31-AB33</f>
        <v>3671</v>
      </c>
      <c r="AC32" s="44"/>
      <c r="AD32" s="44"/>
      <c r="AE32" s="44"/>
      <c r="AF32" s="44"/>
      <c r="AG32" s="44"/>
      <c r="AH32" s="44"/>
      <c r="AI32" s="44"/>
      <c r="AJ32" s="44"/>
      <c r="AK32" s="44"/>
      <c r="AL32" s="44"/>
      <c r="AM32" s="44"/>
      <c r="AN32" s="44"/>
      <c r="AO32" s="44"/>
      <c r="AP32" s="44"/>
      <c r="AQ32" s="44"/>
      <c r="AR32" s="44"/>
      <c r="AS32" s="44"/>
      <c r="AT32" s="44"/>
      <c r="AU32" s="44"/>
      <c r="AV32" s="44"/>
      <c r="AW32" s="44"/>
      <c r="AX32" s="44">
        <f>+AX31-AX33</f>
        <v>5432</v>
      </c>
      <c r="AY32" s="44">
        <f t="shared" ref="AY32:BB32" si="42">AY31-AY33</f>
        <v>5386</v>
      </c>
      <c r="AZ32" s="44">
        <f t="shared" si="42"/>
        <v>4772</v>
      </c>
      <c r="BA32" s="44">
        <f t="shared" si="42"/>
        <v>5155</v>
      </c>
      <c r="BB32" s="44">
        <f t="shared" si="42"/>
        <v>5619</v>
      </c>
      <c r="BC32" s="44">
        <f>BC31-BC33</f>
        <v>5811</v>
      </c>
      <c r="BD32" s="44">
        <v>5547</v>
      </c>
      <c r="BE32" s="44">
        <f>+BE31-BE33</f>
        <v>6059</v>
      </c>
      <c r="BF32" s="45">
        <f>+BF31-BF33</f>
        <v>6241</v>
      </c>
      <c r="BG32" s="44">
        <f>BG31-BG33</f>
        <v>6917</v>
      </c>
      <c r="BH32" s="44">
        <v>6069</v>
      </c>
      <c r="BI32" s="44">
        <v>7200</v>
      </c>
      <c r="BJ32" s="44">
        <f t="shared" ref="BJ32:BN32" si="43">+BJ31-BJ33</f>
        <v>8262</v>
      </c>
      <c r="BK32" s="44">
        <f>+BK31-BK33</f>
        <v>8182</v>
      </c>
      <c r="BL32" s="44">
        <f>+BL31-BL33</f>
        <v>7856</v>
      </c>
      <c r="BM32" s="44">
        <f>+BM31-BM33</f>
        <v>9713</v>
      </c>
      <c r="BN32" s="44">
        <f>+BN31-BN33</f>
        <v>10014</v>
      </c>
      <c r="BO32" s="44">
        <f>+BO31-BO33</f>
        <v>9916</v>
      </c>
      <c r="BP32" s="44"/>
      <c r="BQ32" s="44"/>
      <c r="BR32" s="44"/>
      <c r="BS32" s="44"/>
      <c r="BT32" s="44">
        <v>-3751</v>
      </c>
      <c r="BU32" s="44">
        <v>-4227</v>
      </c>
      <c r="BV32" s="44">
        <f>BV33-BV31</f>
        <v>-5016</v>
      </c>
      <c r="BW32" s="44">
        <f>BW33-BW31</f>
        <v>-6036</v>
      </c>
      <c r="BX32" s="44">
        <f>BX33-BX31</f>
        <v>-6598</v>
      </c>
      <c r="BY32" s="44"/>
      <c r="BZ32" s="44"/>
      <c r="CA32" s="44"/>
      <c r="CB32" s="44"/>
      <c r="CC32" s="44"/>
      <c r="CD32" s="44"/>
      <c r="CE32" s="44">
        <f>SUM(G32:J32)</f>
        <v>10525</v>
      </c>
      <c r="CF32" s="44">
        <v>11680</v>
      </c>
      <c r="CG32" s="44">
        <v>12589</v>
      </c>
      <c r="CH32" s="44">
        <v>13465</v>
      </c>
      <c r="CI32" s="44"/>
      <c r="CJ32" s="44">
        <v>14562</v>
      </c>
      <c r="CK32" s="44">
        <v>16188</v>
      </c>
      <c r="CL32" s="46">
        <v>17183</v>
      </c>
      <c r="CM32" s="46"/>
      <c r="CN32" s="46"/>
      <c r="CO32" s="46">
        <f>+CO31-CO33</f>
        <v>20088</v>
      </c>
      <c r="CP32" s="46">
        <f>+CP31-CP33</f>
        <v>20932</v>
      </c>
      <c r="CQ32" s="46">
        <f>+CQ31-CQ33</f>
        <v>23658</v>
      </c>
      <c r="CR32" s="46">
        <f>+CR31-CR33</f>
        <v>28448</v>
      </c>
      <c r="CS32" s="46">
        <f>SUM(Model!BK32:BN32)</f>
        <v>35765</v>
      </c>
      <c r="CT32" s="46"/>
      <c r="CU32" s="46"/>
      <c r="CV32" s="46"/>
      <c r="CW32" s="46"/>
      <c r="CX32" s="46"/>
      <c r="CY32" s="46"/>
      <c r="CZ32" s="46"/>
      <c r="DA32" s="40"/>
      <c r="DB32" s="40"/>
      <c r="DC32" s="40"/>
      <c r="DD32" s="40"/>
      <c r="DE32" s="40"/>
      <c r="DF32" s="40"/>
      <c r="DG32" s="40"/>
      <c r="DH32" s="40"/>
      <c r="DI32" s="40"/>
      <c r="DJ32" s="40"/>
      <c r="DK32" s="40"/>
      <c r="DL32" s="40"/>
      <c r="DM32" s="40"/>
      <c r="DN32" s="40"/>
      <c r="DO32" s="40"/>
      <c r="DP32" s="40"/>
      <c r="DQ32" s="40"/>
      <c r="DR32" s="40"/>
      <c r="DS32" s="40"/>
      <c r="DT32" s="40"/>
      <c r="DU32" s="40"/>
      <c r="DV32" s="40"/>
      <c r="DW32" s="40"/>
      <c r="DX32" s="40"/>
      <c r="DY32" s="40"/>
      <c r="DZ32" s="40"/>
      <c r="EA32" s="40"/>
      <c r="EB32" s="40"/>
      <c r="EC32" s="40"/>
      <c r="ED32" s="40"/>
      <c r="EE32" s="40"/>
      <c r="EF32" s="40"/>
      <c r="EG32" s="40"/>
      <c r="EH32" s="40"/>
      <c r="EI32" s="40"/>
      <c r="EJ32" s="40"/>
      <c r="EK32" s="40"/>
    </row>
    <row r="33" spans="1:141" ht="13" customHeight="1">
      <c r="A33" s="41"/>
      <c r="B33" s="47" t="s">
        <v>136</v>
      </c>
      <c r="C33" s="44">
        <v>8201</v>
      </c>
      <c r="D33" s="44">
        <v>8556</v>
      </c>
      <c r="E33" s="44">
        <v>8640</v>
      </c>
      <c r="F33" s="44">
        <v>10047</v>
      </c>
      <c r="G33" s="44">
        <v>9990</v>
      </c>
      <c r="H33" s="44">
        <v>10391</v>
      </c>
      <c r="I33" s="44">
        <v>9832</v>
      </c>
      <c r="J33" s="44">
        <v>10427</v>
      </c>
      <c r="K33" s="44">
        <v>10984</v>
      </c>
      <c r="L33" s="44">
        <v>12425</v>
      </c>
      <c r="M33" s="44">
        <v>12648</v>
      </c>
      <c r="N33" s="44">
        <f>+N31*0.8</f>
        <v>12899.2</v>
      </c>
      <c r="O33" s="44">
        <v>12576</v>
      </c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  <c r="AB33" s="44">
        <v>17958</v>
      </c>
      <c r="AC33" s="44"/>
      <c r="AD33" s="44"/>
      <c r="AE33" s="44"/>
      <c r="AF33" s="44"/>
      <c r="AG33" s="44"/>
      <c r="AH33" s="44"/>
      <c r="AI33" s="44"/>
      <c r="AJ33" s="44"/>
      <c r="AK33" s="44"/>
      <c r="AL33" s="44"/>
      <c r="AM33" s="44"/>
      <c r="AN33" s="44"/>
      <c r="AO33" s="44"/>
      <c r="AP33" s="44"/>
      <c r="AQ33" s="44"/>
      <c r="AR33" s="44"/>
      <c r="AS33" s="44"/>
      <c r="AT33" s="44"/>
      <c r="AU33" s="44"/>
      <c r="AV33" s="44"/>
      <c r="AW33" s="44"/>
      <c r="AX33" s="44">
        <v>26985</v>
      </c>
      <c r="AY33" s="44">
        <v>28489</v>
      </c>
      <c r="AZ33" s="44">
        <v>25234</v>
      </c>
      <c r="BA33" s="44">
        <v>25772</v>
      </c>
      <c r="BB33" s="44">
        <v>26519</v>
      </c>
      <c r="BC33" s="44">
        <v>27993</v>
      </c>
      <c r="BD33" s="44">
        <f>+BD31-BD32</f>
        <v>27494</v>
      </c>
      <c r="BE33" s="44">
        <v>29563</v>
      </c>
      <c r="BF33" s="44">
        <v>32092</v>
      </c>
      <c r="BG33" s="44">
        <v>35114</v>
      </c>
      <c r="BH33" s="44">
        <f>+BH31-BH32</f>
        <v>35196</v>
      </c>
      <c r="BI33" s="44">
        <f>+BI31-BI32</f>
        <v>38366</v>
      </c>
      <c r="BJ33" s="44">
        <v>39830</v>
      </c>
      <c r="BK33" s="44">
        <v>45185</v>
      </c>
      <c r="BL33" s="44">
        <v>46444</v>
      </c>
      <c r="BM33" s="44">
        <v>49018</v>
      </c>
      <c r="BN33" s="44">
        <v>55849</v>
      </c>
      <c r="BO33" s="44">
        <v>55433</v>
      </c>
      <c r="BP33" s="44"/>
      <c r="BQ33" s="44"/>
      <c r="BR33" s="44"/>
      <c r="BS33" s="44"/>
      <c r="BT33" s="44">
        <f>BT31+BT32</f>
        <v>9896</v>
      </c>
      <c r="BU33" s="44">
        <f>BU31+BU32</f>
        <v>12196</v>
      </c>
      <c r="BV33" s="44">
        <v>15469</v>
      </c>
      <c r="BW33" s="44">
        <v>17349</v>
      </c>
      <c r="BX33" s="44">
        <v>18268</v>
      </c>
      <c r="BY33" s="44"/>
      <c r="BZ33" s="44"/>
      <c r="CA33" s="44"/>
      <c r="CB33" s="44"/>
      <c r="CC33" s="44"/>
      <c r="CD33" s="44"/>
      <c r="CE33" s="44">
        <f>CE31-CE32</f>
        <v>40640</v>
      </c>
      <c r="CF33" s="44">
        <f>+CF31-CF32</f>
        <v>49096</v>
      </c>
      <c r="CG33" s="44">
        <f>+CG31-CG32</f>
        <v>53757</v>
      </c>
      <c r="CH33" s="44">
        <f>+CH31-CH32</f>
        <v>64561</v>
      </c>
      <c r="CI33" s="44"/>
      <c r="CJ33" s="44">
        <f>+CJ31-CJ32</f>
        <v>74244</v>
      </c>
      <c r="CK33" s="44">
        <f>+CK31-CK32</f>
        <v>91739</v>
      </c>
      <c r="CL33" s="46">
        <f>+CL31-CL32</f>
        <v>94597</v>
      </c>
      <c r="CM33" s="46">
        <v>94064</v>
      </c>
      <c r="CN33" s="46">
        <v>94214</v>
      </c>
      <c r="CO33" s="46">
        <v>101933</v>
      </c>
      <c r="CP33" s="46">
        <v>106014</v>
      </c>
      <c r="CQ33" s="46">
        <v>117142</v>
      </c>
      <c r="CR33" s="46">
        <v>148506</v>
      </c>
      <c r="CS33" s="46">
        <f>+CS31-CS32</f>
        <v>196496</v>
      </c>
      <c r="CT33" s="46"/>
      <c r="CU33" s="46"/>
      <c r="CV33" s="46"/>
      <c r="CW33" s="46"/>
      <c r="CX33" s="46"/>
      <c r="CY33" s="46"/>
      <c r="CZ33" s="46"/>
      <c r="DA33" s="40"/>
      <c r="DB33" s="40"/>
      <c r="DC33" s="40"/>
      <c r="DD33" s="40"/>
      <c r="DE33" s="40"/>
      <c r="DF33" s="40"/>
      <c r="DG33" s="40"/>
      <c r="DH33" s="40"/>
      <c r="DI33" s="40"/>
      <c r="DJ33" s="40"/>
      <c r="DK33" s="40"/>
      <c r="DL33" s="40"/>
      <c r="DM33" s="40"/>
      <c r="DN33" s="40"/>
      <c r="DO33" s="40"/>
      <c r="DP33" s="40"/>
      <c r="DQ33" s="40"/>
      <c r="DR33" s="40"/>
      <c r="DS33" s="40"/>
      <c r="DT33" s="40"/>
      <c r="DU33" s="40"/>
      <c r="DV33" s="40"/>
      <c r="DW33" s="40"/>
      <c r="DX33" s="40"/>
      <c r="DY33" s="40"/>
      <c r="DZ33" s="40"/>
      <c r="EA33" s="40"/>
      <c r="EB33" s="40"/>
      <c r="EC33" s="40"/>
      <c r="ED33" s="40"/>
      <c r="EE33" s="40"/>
      <c r="EF33" s="40"/>
      <c r="EG33" s="40"/>
      <c r="EH33" s="40"/>
      <c r="EI33" s="40"/>
      <c r="EJ33" s="40"/>
      <c r="EK33" s="40"/>
    </row>
    <row r="34" spans="1:141" ht="13" customHeight="1">
      <c r="A34" s="41"/>
      <c r="B34" s="47" t="s">
        <v>137</v>
      </c>
      <c r="C34" s="44">
        <v>2975</v>
      </c>
      <c r="D34" s="44">
        <v>3178</v>
      </c>
      <c r="E34" s="44">
        <v>3155</v>
      </c>
      <c r="F34" s="44">
        <v>3558</v>
      </c>
      <c r="G34" s="44">
        <v>3844</v>
      </c>
      <c r="H34" s="44">
        <v>3837</v>
      </c>
      <c r="I34" s="44">
        <v>3502</v>
      </c>
      <c r="J34" s="44">
        <v>4237</v>
      </c>
      <c r="K34" s="44">
        <v>3984</v>
      </c>
      <c r="L34" s="44">
        <v>4364</v>
      </c>
      <c r="M34" s="44">
        <v>4573</v>
      </c>
      <c r="N34" s="44">
        <f>+M34</f>
        <v>4573</v>
      </c>
      <c r="O34" s="44">
        <v>4260</v>
      </c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  <c r="AA34" s="44"/>
      <c r="AB34" s="44">
        <v>5559</v>
      </c>
      <c r="AC34" s="44"/>
      <c r="AD34" s="44"/>
      <c r="AE34" s="44"/>
      <c r="AF34" s="44"/>
      <c r="AG34" s="44"/>
      <c r="AH34" s="44"/>
      <c r="AI34" s="44"/>
      <c r="AJ34" s="44"/>
      <c r="AK34" s="44"/>
      <c r="AL34" s="44"/>
      <c r="AM34" s="44"/>
      <c r="AN34" s="44"/>
      <c r="AO34" s="44"/>
      <c r="AP34" s="44"/>
      <c r="AQ34" s="44"/>
      <c r="AR34" s="44"/>
      <c r="AS34" s="44"/>
      <c r="AT34" s="44"/>
      <c r="AU34" s="44"/>
      <c r="AV34" s="44"/>
      <c r="AW34" s="44"/>
      <c r="AX34" s="44">
        <v>9536</v>
      </c>
      <c r="AY34" s="44">
        <v>7590</v>
      </c>
      <c r="AZ34" s="44">
        <v>7398</v>
      </c>
      <c r="BA34" s="44">
        <v>8174</v>
      </c>
      <c r="BB34" s="44">
        <v>9766</v>
      </c>
      <c r="BC34" s="44">
        <v>8256</v>
      </c>
      <c r="BD34" s="44">
        <v>8001</v>
      </c>
      <c r="BE34" s="44">
        <v>9119</v>
      </c>
      <c r="BF34" s="44">
        <v>11632</v>
      </c>
      <c r="BG34" s="44">
        <v>10183</v>
      </c>
      <c r="BH34" s="44">
        <v>10840</v>
      </c>
      <c r="BI34" s="44">
        <v>11451</v>
      </c>
      <c r="BJ34" s="44">
        <v>13743</v>
      </c>
      <c r="BK34" s="44">
        <v>12412</v>
      </c>
      <c r="BL34" s="44">
        <v>14342</v>
      </c>
      <c r="BM34" s="44">
        <v>12819</v>
      </c>
      <c r="BN34" s="44">
        <v>17170</v>
      </c>
      <c r="BO34" s="44">
        <v>13256</v>
      </c>
      <c r="BP34" s="44"/>
      <c r="BQ34" s="44"/>
      <c r="BR34" s="44"/>
      <c r="BS34" s="44"/>
      <c r="BT34" s="44">
        <v>-4212</v>
      </c>
      <c r="BU34" s="44">
        <v>-4812</v>
      </c>
      <c r="BV34" s="44">
        <v>-6013</v>
      </c>
      <c r="BW34" s="44">
        <v>-6951</v>
      </c>
      <c r="BX34" s="44">
        <v>-7187</v>
      </c>
      <c r="BY34" s="44"/>
      <c r="BZ34" s="44"/>
      <c r="CA34" s="44"/>
      <c r="CB34" s="44"/>
      <c r="CC34" s="44"/>
      <c r="CD34" s="44"/>
      <c r="CE34" s="44">
        <f>SUM(G34:J34)</f>
        <v>15420</v>
      </c>
      <c r="CF34" s="44">
        <v>18195</v>
      </c>
      <c r="CG34" s="44">
        <v>19004</v>
      </c>
      <c r="CH34" s="44">
        <v>21544</v>
      </c>
      <c r="CI34" s="44"/>
      <c r="CJ34" s="44">
        <v>23223</v>
      </c>
      <c r="CK34" s="44">
        <v>28312</v>
      </c>
      <c r="CL34" s="46">
        <v>28377</v>
      </c>
      <c r="CM34" s="46">
        <v>28340</v>
      </c>
      <c r="CN34" s="46">
        <v>29397</v>
      </c>
      <c r="CO34" s="46">
        <v>31823</v>
      </c>
      <c r="CP34" s="46">
        <v>32928</v>
      </c>
      <c r="CQ34" s="46">
        <v>37008</v>
      </c>
      <c r="CR34" s="46">
        <v>46217</v>
      </c>
      <c r="CS34" s="46">
        <f>SUM(Model!BK34:BN34)</f>
        <v>56743</v>
      </c>
      <c r="CT34" s="46"/>
      <c r="CU34" s="46"/>
      <c r="CV34" s="46"/>
      <c r="CW34" s="46"/>
      <c r="CX34" s="46"/>
      <c r="CY34" s="46"/>
      <c r="CZ34" s="46"/>
      <c r="DA34" s="40"/>
      <c r="DB34" s="40"/>
      <c r="DC34" s="40"/>
      <c r="DD34" s="40"/>
      <c r="DE34" s="40"/>
      <c r="DF34" s="40"/>
      <c r="DG34" s="40"/>
      <c r="DH34" s="40"/>
      <c r="DI34" s="40"/>
      <c r="DJ34" s="40"/>
      <c r="DK34" s="40"/>
      <c r="DL34" s="40"/>
      <c r="DM34" s="40"/>
      <c r="DN34" s="40"/>
      <c r="DO34" s="40"/>
      <c r="DP34" s="40"/>
      <c r="DQ34" s="40"/>
      <c r="DR34" s="40"/>
      <c r="DS34" s="40"/>
      <c r="DT34" s="40"/>
      <c r="DU34" s="40"/>
      <c r="DV34" s="40"/>
      <c r="DW34" s="40"/>
      <c r="DX34" s="40"/>
      <c r="DY34" s="40"/>
      <c r="DZ34" s="40"/>
      <c r="EA34" s="40"/>
      <c r="EB34" s="40"/>
      <c r="EC34" s="40"/>
      <c r="ED34" s="40"/>
      <c r="EE34" s="40"/>
      <c r="EF34" s="40"/>
      <c r="EG34" s="40"/>
      <c r="EH34" s="40"/>
      <c r="EI34" s="40"/>
      <c r="EJ34" s="40"/>
      <c r="EK34" s="40"/>
    </row>
    <row r="35" spans="1:141" ht="13" customHeight="1">
      <c r="A35" s="41"/>
      <c r="B35" s="47" t="s">
        <v>138</v>
      </c>
      <c r="C35" s="44">
        <f>1858-220</f>
        <v>1638</v>
      </c>
      <c r="D35" s="44">
        <f>1980-155</f>
        <v>1825</v>
      </c>
      <c r="E35" s="44">
        <f>1579+50</f>
        <v>1629</v>
      </c>
      <c r="F35" s="44">
        <v>2439</v>
      </c>
      <c r="G35" s="44">
        <v>1744</v>
      </c>
      <c r="H35" s="44">
        <v>1849</v>
      </c>
      <c r="I35" s="44">
        <v>1884</v>
      </c>
      <c r="J35" s="44">
        <v>2387</v>
      </c>
      <c r="K35" s="44">
        <v>2131</v>
      </c>
      <c r="L35" s="44">
        <v>2434</v>
      </c>
      <c r="M35" s="44">
        <v>2302</v>
      </c>
      <c r="N35" s="44">
        <f>+M35</f>
        <v>2302</v>
      </c>
      <c r="O35" s="44">
        <v>2290</v>
      </c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  <c r="AA35" s="44"/>
      <c r="AB35" s="44">
        <v>3075</v>
      </c>
      <c r="AC35" s="44"/>
      <c r="AD35" s="44"/>
      <c r="AE35" s="44"/>
      <c r="AF35" s="44"/>
      <c r="AG35" s="44"/>
      <c r="AH35" s="44"/>
      <c r="AI35" s="44"/>
      <c r="AJ35" s="44"/>
      <c r="AK35" s="44"/>
      <c r="AL35" s="44"/>
      <c r="AM35" s="44"/>
      <c r="AN35" s="44"/>
      <c r="AO35" s="44"/>
      <c r="AP35" s="44"/>
      <c r="AQ35" s="44"/>
      <c r="AR35" s="44"/>
      <c r="AS35" s="44"/>
      <c r="AT35" s="44"/>
      <c r="AU35" s="44"/>
      <c r="AV35" s="44"/>
      <c r="AW35" s="44"/>
      <c r="AX35" s="44">
        <v>4384</v>
      </c>
      <c r="AY35" s="44">
        <v>3777</v>
      </c>
      <c r="AZ35" s="44">
        <v>3291</v>
      </c>
      <c r="BA35" s="44">
        <v>3911</v>
      </c>
      <c r="BB35" s="44">
        <v>4483</v>
      </c>
      <c r="BC35" s="44">
        <v>3944</v>
      </c>
      <c r="BD35" s="44">
        <v>3944</v>
      </c>
      <c r="BE35" s="44">
        <v>4252</v>
      </c>
      <c r="BF35" s="44">
        <v>5632</v>
      </c>
      <c r="BG35" s="44">
        <v>5206</v>
      </c>
      <c r="BH35" s="44">
        <v>5123</v>
      </c>
      <c r="BI35" s="44">
        <v>5633</v>
      </c>
      <c r="BJ35" s="44">
        <v>8085</v>
      </c>
      <c r="BK35" s="44">
        <v>6728</v>
      </c>
      <c r="BL35" s="44">
        <v>7127</v>
      </c>
      <c r="BM35" s="44">
        <v>8128</v>
      </c>
      <c r="BN35" s="44">
        <v>10460</v>
      </c>
      <c r="BO35" s="44">
        <v>8606</v>
      </c>
      <c r="BP35" s="44"/>
      <c r="BQ35" s="44"/>
      <c r="BR35" s="44"/>
      <c r="BS35" s="44"/>
      <c r="BT35" s="44">
        <v>-2795</v>
      </c>
      <c r="BU35" s="44">
        <v>-2748</v>
      </c>
      <c r="BV35" s="44">
        <v>-3407</v>
      </c>
      <c r="BW35" s="44">
        <v>-3872</v>
      </c>
      <c r="BX35" s="44">
        <v>-3952</v>
      </c>
      <c r="BY35" s="44"/>
      <c r="BZ35" s="44"/>
      <c r="CA35" s="44"/>
      <c r="CB35" s="44"/>
      <c r="CC35" s="44"/>
      <c r="CD35" s="44"/>
      <c r="CE35" s="44">
        <f>SUM(G35:J35)</f>
        <v>7864</v>
      </c>
      <c r="CF35" s="44">
        <v>9602</v>
      </c>
      <c r="CG35" s="44">
        <v>9628</v>
      </c>
      <c r="CH35" s="44">
        <v>10897</v>
      </c>
      <c r="CI35" s="44"/>
      <c r="CJ35" s="44">
        <v>13762</v>
      </c>
      <c r="CK35" s="44">
        <v>13608</v>
      </c>
      <c r="CL35" s="46">
        <v>14563</v>
      </c>
      <c r="CM35" s="46">
        <v>14014</v>
      </c>
      <c r="CN35" s="46">
        <v>14805</v>
      </c>
      <c r="CO35" s="46">
        <v>14220</v>
      </c>
      <c r="CP35" s="46">
        <v>15462</v>
      </c>
      <c r="CQ35" s="46">
        <v>17772</v>
      </c>
      <c r="CR35" s="46">
        <v>24047</v>
      </c>
      <c r="CS35" s="46">
        <f>SUM(Model!BK35:BN35)</f>
        <v>32443</v>
      </c>
      <c r="CT35" s="46"/>
      <c r="CU35" s="46"/>
      <c r="CV35" s="46"/>
      <c r="CW35" s="46"/>
      <c r="CX35" s="46"/>
      <c r="CY35" s="46"/>
      <c r="CZ35" s="46"/>
      <c r="DA35" s="40"/>
      <c r="DB35" s="40"/>
      <c r="DC35" s="40"/>
      <c r="DD35" s="40"/>
      <c r="DE35" s="40"/>
      <c r="DF35" s="40"/>
      <c r="DG35" s="40"/>
      <c r="DH35" s="40"/>
      <c r="DI35" s="40"/>
      <c r="DJ35" s="40"/>
      <c r="DK35" s="40"/>
      <c r="DL35" s="40"/>
      <c r="DM35" s="40"/>
      <c r="DN35" s="40"/>
      <c r="DO35" s="40"/>
      <c r="DP35" s="40"/>
      <c r="DQ35" s="40"/>
      <c r="DR35" s="40"/>
      <c r="DS35" s="40"/>
      <c r="DT35" s="40"/>
      <c r="DU35" s="40"/>
      <c r="DV35" s="40"/>
      <c r="DW35" s="40"/>
      <c r="DX35" s="40"/>
      <c r="DY35" s="40"/>
      <c r="DZ35" s="40"/>
      <c r="EA35" s="40"/>
      <c r="EB35" s="40"/>
      <c r="EC35" s="40"/>
      <c r="ED35" s="40"/>
      <c r="EE35" s="40"/>
      <c r="EF35" s="40"/>
      <c r="EG35" s="40"/>
      <c r="EH35" s="40"/>
      <c r="EI35" s="40"/>
      <c r="EJ35" s="40"/>
      <c r="EK35" s="40"/>
    </row>
    <row r="36" spans="1:141" ht="13" customHeight="1">
      <c r="A36" s="41"/>
      <c r="B36" s="47" t="s">
        <v>197</v>
      </c>
      <c r="C36" s="44">
        <v>627</v>
      </c>
      <c r="D36" s="44">
        <v>626</v>
      </c>
      <c r="E36" s="44">
        <v>633</v>
      </c>
      <c r="F36" s="44">
        <v>749</v>
      </c>
      <c r="G36" s="44">
        <v>679</v>
      </c>
      <c r="H36" s="44">
        <v>693</v>
      </c>
      <c r="I36" s="44">
        <v>666</v>
      </c>
      <c r="J36" s="44">
        <v>726</v>
      </c>
      <c r="K36" s="44">
        <v>711</v>
      </c>
      <c r="L36" s="44">
        <v>745</v>
      </c>
      <c r="M36" s="44">
        <v>759</v>
      </c>
      <c r="N36" s="44">
        <f>+M36</f>
        <v>759</v>
      </c>
      <c r="O36" s="44">
        <v>756</v>
      </c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  <c r="AA36" s="44"/>
      <c r="AB36" s="44">
        <v>795</v>
      </c>
      <c r="AC36" s="44"/>
      <c r="AD36" s="44"/>
      <c r="AE36" s="44"/>
      <c r="AF36" s="44"/>
      <c r="AG36" s="44"/>
      <c r="AH36" s="44"/>
      <c r="AI36" s="44"/>
      <c r="AJ36" s="44"/>
      <c r="AK36" s="44"/>
      <c r="AL36" s="44"/>
      <c r="AM36" s="44"/>
      <c r="AN36" s="44"/>
      <c r="AO36" s="44"/>
      <c r="AP36" s="44"/>
      <c r="AQ36" s="44"/>
      <c r="AR36" s="44"/>
      <c r="AS36" s="44"/>
      <c r="AT36" s="44"/>
      <c r="AU36" s="44"/>
      <c r="AV36" s="44"/>
      <c r="AW36" s="44"/>
      <c r="AX36" s="44">
        <v>1235</v>
      </c>
      <c r="AY36" s="44">
        <v>927</v>
      </c>
      <c r="AZ36" s="44">
        <v>827</v>
      </c>
      <c r="BA36" s="44">
        <v>1006</v>
      </c>
      <c r="BB36" s="44">
        <v>1198</v>
      </c>
      <c r="BC36" s="44">
        <v>932</v>
      </c>
      <c r="BD36" s="44">
        <v>904</v>
      </c>
      <c r="BE36" s="44">
        <v>1024</v>
      </c>
      <c r="BF36" s="44">
        <v>1190</v>
      </c>
      <c r="BG36" s="44">
        <v>970</v>
      </c>
      <c r="BH36" s="44">
        <v>991</v>
      </c>
      <c r="BI36" s="44">
        <v>1158</v>
      </c>
      <c r="BJ36" s="44">
        <v>1348</v>
      </c>
      <c r="BK36" s="44">
        <v>1071</v>
      </c>
      <c r="BL36" s="44">
        <v>1072</v>
      </c>
      <c r="BM36" s="44">
        <v>1256</v>
      </c>
      <c r="BN36" s="44">
        <v>1456</v>
      </c>
      <c r="BO36" s="44">
        <v>1157</v>
      </c>
      <c r="BP36" s="44"/>
      <c r="BQ36" s="44"/>
      <c r="BR36" s="44"/>
      <c r="BS36" s="44"/>
      <c r="BT36" s="44">
        <v>-1397</v>
      </c>
      <c r="BU36" s="44">
        <v>-1721</v>
      </c>
      <c r="BV36" s="44">
        <v>-1917</v>
      </c>
      <c r="BW36" s="44">
        <v>-1931</v>
      </c>
      <c r="BX36" s="44">
        <v>-1960</v>
      </c>
      <c r="BY36" s="44"/>
      <c r="BZ36" s="44"/>
      <c r="CA36" s="44"/>
      <c r="CB36" s="44"/>
      <c r="CC36" s="44"/>
      <c r="CD36" s="44"/>
      <c r="CE36" s="44">
        <f>SUM(G36:J36)</f>
        <v>2764</v>
      </c>
      <c r="CF36" s="44">
        <v>3065</v>
      </c>
      <c r="CG36" s="44">
        <v>3245</v>
      </c>
      <c r="CH36" s="44">
        <v>3312</v>
      </c>
      <c r="CI36" s="44"/>
      <c r="CJ36" s="44">
        <v>3537</v>
      </c>
      <c r="CK36" s="44">
        <v>3857</v>
      </c>
      <c r="CL36" s="46">
        <v>3962</v>
      </c>
      <c r="CM36" s="46">
        <v>3784</v>
      </c>
      <c r="CN36" s="46">
        <v>3916</v>
      </c>
      <c r="CO36" s="46">
        <v>4007</v>
      </c>
      <c r="CP36" s="46">
        <v>3958</v>
      </c>
      <c r="CQ36" s="46">
        <v>4050</v>
      </c>
      <c r="CR36" s="46">
        <v>4467</v>
      </c>
      <c r="CS36" s="46">
        <f>SUM(Model!BK36:BN36)</f>
        <v>4855</v>
      </c>
      <c r="CT36" s="46"/>
      <c r="CU36" s="46"/>
      <c r="CV36" s="46"/>
      <c r="CW36" s="46"/>
      <c r="CX36" s="46"/>
      <c r="CY36" s="46"/>
      <c r="CZ36" s="46"/>
      <c r="DA36" s="40"/>
      <c r="DB36" s="40"/>
      <c r="DC36" s="40"/>
      <c r="DD36" s="40"/>
      <c r="DE36" s="40"/>
      <c r="DF36" s="40"/>
      <c r="DG36" s="40"/>
      <c r="DH36" s="40"/>
      <c r="DI36" s="40"/>
      <c r="DJ36" s="40"/>
      <c r="DK36" s="40"/>
      <c r="DL36" s="40"/>
      <c r="DM36" s="40"/>
      <c r="DN36" s="40"/>
      <c r="DO36" s="40"/>
      <c r="DP36" s="40"/>
      <c r="DQ36" s="40"/>
      <c r="DR36" s="40"/>
      <c r="DS36" s="40"/>
      <c r="DT36" s="40"/>
      <c r="DU36" s="40"/>
      <c r="DV36" s="40"/>
      <c r="DW36" s="40"/>
      <c r="DX36" s="40"/>
      <c r="DY36" s="40"/>
      <c r="DZ36" s="40"/>
      <c r="EA36" s="40"/>
      <c r="EB36" s="40"/>
      <c r="EC36" s="40"/>
      <c r="ED36" s="40"/>
      <c r="EE36" s="40"/>
      <c r="EF36" s="40"/>
      <c r="EG36" s="40"/>
      <c r="EH36" s="40"/>
      <c r="EI36" s="40"/>
      <c r="EJ36" s="40"/>
      <c r="EK36" s="40"/>
    </row>
    <row r="37" spans="1:141" ht="13" customHeight="1">
      <c r="A37" s="41"/>
      <c r="B37" s="47" t="s">
        <v>134</v>
      </c>
      <c r="C37" s="44">
        <v>88</v>
      </c>
      <c r="D37" s="44">
        <v>74</v>
      </c>
      <c r="E37" s="44">
        <v>51</v>
      </c>
      <c r="F37" s="44">
        <v>73</v>
      </c>
      <c r="G37" s="44">
        <v>87</v>
      </c>
      <c r="H37" s="44">
        <v>78</v>
      </c>
      <c r="I37" s="44">
        <v>34</v>
      </c>
      <c r="J37" s="44">
        <v>142</v>
      </c>
      <c r="K37" s="44">
        <v>224</v>
      </c>
      <c r="L37" s="44">
        <v>159</v>
      </c>
      <c r="M37" s="44">
        <v>110</v>
      </c>
      <c r="N37" s="44">
        <f>+M37</f>
        <v>110</v>
      </c>
      <c r="O37" s="44">
        <v>148</v>
      </c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>
        <v>204</v>
      </c>
      <c r="AC37" s="44"/>
      <c r="AD37" s="44"/>
      <c r="AE37" s="44"/>
      <c r="AF37" s="44"/>
      <c r="AG37" s="44"/>
      <c r="AH37" s="44"/>
      <c r="AI37" s="44"/>
      <c r="AJ37" s="44"/>
      <c r="AK37" s="44"/>
      <c r="AL37" s="44"/>
      <c r="AM37" s="44"/>
      <c r="AN37" s="44"/>
      <c r="AO37" s="44"/>
      <c r="AP37" s="44"/>
      <c r="AQ37" s="44"/>
      <c r="AR37" s="44"/>
      <c r="AS37" s="44"/>
      <c r="AT37" s="44"/>
      <c r="AU37" s="44"/>
      <c r="AV37" s="44"/>
      <c r="AW37" s="44"/>
      <c r="AX37" s="44">
        <v>-43</v>
      </c>
      <c r="AY37" s="44">
        <v>-107</v>
      </c>
      <c r="AZ37" s="44">
        <v>-120</v>
      </c>
      <c r="BA37" s="44">
        <v>-127</v>
      </c>
      <c r="BB37" s="44">
        <v>-106</v>
      </c>
      <c r="BC37" s="44">
        <v>-121</v>
      </c>
      <c r="BD37" s="44">
        <v>-134</v>
      </c>
      <c r="BE37" s="44">
        <v>-81</v>
      </c>
      <c r="BF37" s="44">
        <v>4</v>
      </c>
      <c r="BG37" s="44">
        <v>-392</v>
      </c>
      <c r="BH37" s="44">
        <v>-149</v>
      </c>
      <c r="BI37" s="44">
        <v>-60</v>
      </c>
      <c r="BJ37" s="44">
        <v>-433</v>
      </c>
      <c r="BK37" s="44">
        <v>-33</v>
      </c>
      <c r="BL37" s="44">
        <v>15</v>
      </c>
      <c r="BM37" s="44">
        <v>-98</v>
      </c>
      <c r="BN37" s="44">
        <v>-3</v>
      </c>
      <c r="BO37" s="44">
        <v>568</v>
      </c>
      <c r="BP37" s="44"/>
      <c r="BQ37" s="44"/>
      <c r="BR37" s="44"/>
      <c r="BS37" s="44"/>
      <c r="BT37" s="44">
        <v>1441</v>
      </c>
      <c r="BU37" s="44">
        <v>612</v>
      </c>
      <c r="BV37" s="44">
        <v>571</v>
      </c>
      <c r="BW37" s="44">
        <v>815</v>
      </c>
      <c r="BX37" s="44">
        <v>758</v>
      </c>
      <c r="BY37" s="44"/>
      <c r="BZ37" s="44"/>
      <c r="CA37" s="44"/>
      <c r="CB37" s="44"/>
      <c r="CC37" s="44"/>
      <c r="CD37" s="44"/>
      <c r="CE37" s="44"/>
      <c r="CF37" s="44">
        <v>-657</v>
      </c>
      <c r="CG37" s="44">
        <v>-494</v>
      </c>
      <c r="CH37" s="44">
        <v>-666</v>
      </c>
      <c r="CI37" s="44"/>
      <c r="CJ37" s="44">
        <v>-770</v>
      </c>
      <c r="CK37" s="44">
        <v>-3482</v>
      </c>
      <c r="CL37" s="46">
        <v>-737</v>
      </c>
      <c r="CM37" s="46"/>
      <c r="CN37" s="46"/>
      <c r="CO37" s="46">
        <v>-600</v>
      </c>
      <c r="CP37" s="46">
        <v>-460</v>
      </c>
      <c r="CQ37" s="46">
        <v>-332</v>
      </c>
      <c r="CR37" s="46">
        <v>-1034</v>
      </c>
      <c r="CS37" s="46">
        <f>SUM(Model!BK37:BN37)</f>
        <v>-119</v>
      </c>
      <c r="CT37" s="46"/>
      <c r="CU37" s="46"/>
      <c r="CV37" s="46"/>
      <c r="CW37" s="46"/>
      <c r="CX37" s="46"/>
      <c r="CY37" s="46"/>
      <c r="CZ37" s="46"/>
      <c r="DA37" s="40"/>
      <c r="DB37" s="40"/>
      <c r="DC37" s="40"/>
      <c r="DD37" s="40"/>
      <c r="DE37" s="40"/>
      <c r="DF37" s="40"/>
      <c r="DG37" s="40"/>
      <c r="DH37" s="40"/>
      <c r="DI37" s="40"/>
      <c r="DJ37" s="40"/>
      <c r="DK37" s="40"/>
      <c r="DL37" s="40"/>
      <c r="DM37" s="40"/>
      <c r="DN37" s="40"/>
      <c r="DO37" s="40"/>
      <c r="DP37" s="40"/>
      <c r="DQ37" s="40"/>
      <c r="DR37" s="40"/>
      <c r="DS37" s="40"/>
      <c r="DT37" s="40"/>
      <c r="DU37" s="40"/>
      <c r="DV37" s="40"/>
      <c r="DW37" s="40"/>
      <c r="DX37" s="40"/>
      <c r="DY37" s="40"/>
      <c r="DZ37" s="40"/>
      <c r="EA37" s="40"/>
      <c r="EB37" s="40"/>
      <c r="EC37" s="40"/>
      <c r="ED37" s="40"/>
      <c r="EE37" s="40"/>
      <c r="EF37" s="40"/>
      <c r="EG37" s="40"/>
      <c r="EH37" s="40"/>
      <c r="EI37" s="40"/>
      <c r="EJ37" s="40"/>
      <c r="EK37" s="40"/>
    </row>
    <row r="38" spans="1:141" ht="13" customHeight="1">
      <c r="A38" s="41"/>
      <c r="B38" s="47" t="s">
        <v>139</v>
      </c>
      <c r="C38" s="44">
        <f t="shared" ref="C38:K38" si="44">SUM(C34:C36)-C37</f>
        <v>5152</v>
      </c>
      <c r="D38" s="44">
        <f t="shared" si="44"/>
        <v>5555</v>
      </c>
      <c r="E38" s="44">
        <f t="shared" si="44"/>
        <v>5366</v>
      </c>
      <c r="F38" s="44">
        <f t="shared" si="44"/>
        <v>6673</v>
      </c>
      <c r="G38" s="44">
        <f t="shared" si="44"/>
        <v>6180</v>
      </c>
      <c r="H38" s="44">
        <f t="shared" si="44"/>
        <v>6301</v>
      </c>
      <c r="I38" s="44">
        <f t="shared" si="44"/>
        <v>6018</v>
      </c>
      <c r="J38" s="44">
        <f t="shared" si="44"/>
        <v>7208</v>
      </c>
      <c r="K38" s="44">
        <f t="shared" si="44"/>
        <v>6602</v>
      </c>
      <c r="L38" s="44">
        <f>SUM(L34:L36)-L37</f>
        <v>7384</v>
      </c>
      <c r="M38" s="44">
        <f>SUM(M34:M36)-M37</f>
        <v>7524</v>
      </c>
      <c r="N38" s="44">
        <f>SUM(N34:N36)-N37</f>
        <v>7524</v>
      </c>
      <c r="O38" s="44">
        <f>SUM(O34:O36)-O37</f>
        <v>7158</v>
      </c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>
        <f>SUM(AB34:AB37)</f>
        <v>9633</v>
      </c>
      <c r="AC38" s="44"/>
      <c r="AD38" s="44"/>
      <c r="AE38" s="44"/>
      <c r="AF38" s="44"/>
      <c r="AG38" s="44"/>
      <c r="AH38" s="44"/>
      <c r="AI38" s="44"/>
      <c r="AJ38" s="44"/>
      <c r="AK38" s="44"/>
      <c r="AL38" s="44"/>
      <c r="AM38" s="44"/>
      <c r="AN38" s="44"/>
      <c r="AO38" s="44"/>
      <c r="AP38" s="44"/>
      <c r="AQ38" s="44"/>
      <c r="AR38" s="44"/>
      <c r="AS38" s="44"/>
      <c r="AT38" s="44"/>
      <c r="AU38" s="44"/>
      <c r="AV38" s="44"/>
      <c r="AW38" s="44"/>
      <c r="AX38" s="44">
        <f t="shared" ref="AX38:BB38" si="45">SUM(AX34:AX37)</f>
        <v>15112</v>
      </c>
      <c r="AY38" s="44">
        <f t="shared" si="45"/>
        <v>12187</v>
      </c>
      <c r="AZ38" s="44">
        <f t="shared" si="45"/>
        <v>11396</v>
      </c>
      <c r="BA38" s="44">
        <f t="shared" si="45"/>
        <v>12964</v>
      </c>
      <c r="BB38" s="44">
        <f t="shared" si="45"/>
        <v>15341</v>
      </c>
      <c r="BC38" s="44">
        <f t="shared" ref="BC38:BH38" si="46">SUM(BC34:BC37)</f>
        <v>13011</v>
      </c>
      <c r="BD38" s="44">
        <f t="shared" si="46"/>
        <v>12715</v>
      </c>
      <c r="BE38" s="44">
        <f t="shared" si="46"/>
        <v>14314</v>
      </c>
      <c r="BF38" s="44">
        <f t="shared" si="46"/>
        <v>18458</v>
      </c>
      <c r="BG38" s="44">
        <f t="shared" si="46"/>
        <v>15967</v>
      </c>
      <c r="BH38" s="44">
        <f t="shared" si="46"/>
        <v>16805</v>
      </c>
      <c r="BI38" s="44">
        <f t="shared" ref="BI38:BO38" si="47">SUM(BI34:BI37)</f>
        <v>18182</v>
      </c>
      <c r="BJ38" s="44">
        <f t="shared" si="47"/>
        <v>22743</v>
      </c>
      <c r="BK38" s="44">
        <f t="shared" si="47"/>
        <v>20178</v>
      </c>
      <c r="BL38" s="44">
        <f t="shared" si="47"/>
        <v>22556</v>
      </c>
      <c r="BM38" s="44">
        <f t="shared" si="47"/>
        <v>22105</v>
      </c>
      <c r="BN38" s="44">
        <f t="shared" si="47"/>
        <v>29083</v>
      </c>
      <c r="BO38" s="44">
        <f>SUM(BO34:BO37)</f>
        <v>23587</v>
      </c>
      <c r="BP38" s="44"/>
      <c r="BQ38" s="44"/>
      <c r="BR38" s="44"/>
      <c r="BS38" s="44"/>
      <c r="BT38" s="44">
        <f>BT33+SUM(BT34:BT37)</f>
        <v>2933</v>
      </c>
      <c r="BU38" s="44">
        <f>BU33+SUM(BU34:BU37)</f>
        <v>3527</v>
      </c>
      <c r="BV38" s="44">
        <f>BV33+SUM(BV34:BV37)</f>
        <v>4703</v>
      </c>
      <c r="BW38" s="44">
        <f>BW33+SUM(BW34:BW37)</f>
        <v>5410</v>
      </c>
      <c r="BX38" s="44">
        <f>BX33+SUM(BX34:BX37)</f>
        <v>5927</v>
      </c>
      <c r="BY38" s="44"/>
      <c r="BZ38" s="44"/>
      <c r="CA38" s="44"/>
      <c r="CB38" s="44"/>
      <c r="CC38" s="44"/>
      <c r="CD38" s="44"/>
      <c r="CE38" s="44">
        <f>SUM(CE34:CE36)</f>
        <v>26048</v>
      </c>
      <c r="CF38" s="44">
        <f>SUM(CF34:CF37)</f>
        <v>30205</v>
      </c>
      <c r="CG38" s="44">
        <f>SUM(CG34:CG37)</f>
        <v>31383</v>
      </c>
      <c r="CH38" s="44">
        <f>SUM(CH34:CH37)</f>
        <v>35087</v>
      </c>
      <c r="CI38" s="44">
        <f>SUM(CI34:CI36)</f>
        <v>0</v>
      </c>
      <c r="CJ38" s="44">
        <f>SUM(CJ34:CJ37)</f>
        <v>39752</v>
      </c>
      <c r="CK38" s="44">
        <f>SUM(CK34:CK37)</f>
        <v>42295</v>
      </c>
      <c r="CL38" s="44">
        <f>SUM(CL34:CL37)</f>
        <v>46165</v>
      </c>
      <c r="CM38" s="46">
        <f>SUM(CM34:CM36)</f>
        <v>46138</v>
      </c>
      <c r="CN38" s="46">
        <f t="shared" ref="CN38:CP38" si="48">SUM(CN34:CN36)</f>
        <v>48118</v>
      </c>
      <c r="CO38" s="46">
        <f>SUM(CO34:CO37)</f>
        <v>49450</v>
      </c>
      <c r="CP38" s="46">
        <f t="shared" ref="CP38:CT38" si="49">SUM(CP34:CP37)</f>
        <v>51888</v>
      </c>
      <c r="CQ38" s="46">
        <f t="shared" si="49"/>
        <v>58498</v>
      </c>
      <c r="CR38" s="46">
        <f t="shared" si="49"/>
        <v>73697</v>
      </c>
      <c r="CS38" s="46">
        <f>SUM(CS34:CS37)</f>
        <v>93922</v>
      </c>
      <c r="CT38" s="46">
        <f t="shared" si="49"/>
        <v>0</v>
      </c>
      <c r="CU38" s="46"/>
      <c r="CV38" s="46"/>
      <c r="CW38" s="46"/>
      <c r="CX38" s="46"/>
      <c r="CY38" s="46"/>
      <c r="CZ38" s="46"/>
      <c r="DA38" s="40"/>
      <c r="DB38" s="40"/>
      <c r="DC38" s="40"/>
      <c r="DD38" s="40"/>
      <c r="DE38" s="40"/>
      <c r="DF38" s="40"/>
      <c r="DG38" s="40"/>
      <c r="DH38" s="40"/>
      <c r="DI38" s="40"/>
      <c r="DJ38" s="40"/>
      <c r="DK38" s="40"/>
      <c r="DL38" s="40"/>
      <c r="DM38" s="40"/>
      <c r="DN38" s="40"/>
      <c r="DO38" s="40"/>
      <c r="DP38" s="40"/>
      <c r="DQ38" s="40"/>
      <c r="DR38" s="40"/>
      <c r="DS38" s="40"/>
      <c r="DT38" s="40"/>
      <c r="DU38" s="40"/>
      <c r="DV38" s="40"/>
      <c r="DW38" s="40"/>
      <c r="DX38" s="40"/>
      <c r="DY38" s="40"/>
      <c r="DZ38" s="40"/>
      <c r="EA38" s="40"/>
      <c r="EB38" s="40"/>
      <c r="EC38" s="40"/>
      <c r="ED38" s="40"/>
      <c r="EE38" s="40"/>
      <c r="EF38" s="40"/>
      <c r="EG38" s="40"/>
      <c r="EH38" s="40"/>
      <c r="EI38" s="40"/>
      <c r="EJ38" s="40"/>
      <c r="EK38" s="40"/>
    </row>
    <row r="39" spans="1:141" ht="13" customHeight="1">
      <c r="A39" s="41"/>
      <c r="B39" s="47" t="s">
        <v>198</v>
      </c>
      <c r="C39" s="44">
        <f t="shared" ref="C39:K39" si="50">C33-C38</f>
        <v>3049</v>
      </c>
      <c r="D39" s="44">
        <f t="shared" si="50"/>
        <v>3001</v>
      </c>
      <c r="E39" s="44">
        <f t="shared" si="50"/>
        <v>3274</v>
      </c>
      <c r="F39" s="44">
        <f t="shared" si="50"/>
        <v>3374</v>
      </c>
      <c r="G39" s="44">
        <f t="shared" si="50"/>
        <v>3810</v>
      </c>
      <c r="H39" s="44">
        <f t="shared" si="50"/>
        <v>4090</v>
      </c>
      <c r="I39" s="44">
        <f t="shared" si="50"/>
        <v>3814</v>
      </c>
      <c r="J39" s="44">
        <f t="shared" si="50"/>
        <v>3219</v>
      </c>
      <c r="K39" s="44">
        <f t="shared" si="50"/>
        <v>4382</v>
      </c>
      <c r="L39" s="44">
        <f>L33-L38</f>
        <v>5041</v>
      </c>
      <c r="M39" s="44">
        <f>M33-M38</f>
        <v>5124</v>
      </c>
      <c r="N39" s="44">
        <f>N33-N38</f>
        <v>5375.2000000000007</v>
      </c>
      <c r="O39" s="44">
        <f>O33-O38</f>
        <v>5418</v>
      </c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  <c r="AA39" s="44"/>
      <c r="AB39" s="44">
        <f>AB33-AB38</f>
        <v>8325</v>
      </c>
      <c r="AC39" s="44"/>
      <c r="AD39" s="44"/>
      <c r="AE39" s="44"/>
      <c r="AF39" s="44"/>
      <c r="AG39" s="44"/>
      <c r="AH39" s="44"/>
      <c r="AI39" s="44"/>
      <c r="AJ39" s="44"/>
      <c r="AK39" s="44"/>
      <c r="AL39" s="44"/>
      <c r="AM39" s="44"/>
      <c r="AN39" s="44"/>
      <c r="AO39" s="44"/>
      <c r="AP39" s="44"/>
      <c r="AQ39" s="44"/>
      <c r="AR39" s="44"/>
      <c r="AS39" s="44"/>
      <c r="AT39" s="44"/>
      <c r="AU39" s="44"/>
      <c r="AV39" s="44"/>
      <c r="AW39" s="44"/>
      <c r="AX39" s="44">
        <f t="shared" ref="AX39:BB39" si="51">AX33-AX38</f>
        <v>11873</v>
      </c>
      <c r="AY39" s="44">
        <f t="shared" si="51"/>
        <v>16302</v>
      </c>
      <c r="AZ39" s="44">
        <f t="shared" si="51"/>
        <v>13838</v>
      </c>
      <c r="BA39" s="44">
        <f t="shared" si="51"/>
        <v>12808</v>
      </c>
      <c r="BB39" s="44">
        <f t="shared" si="51"/>
        <v>11178</v>
      </c>
      <c r="BC39" s="44">
        <f t="shared" ref="BC39:BH39" si="52">BC33-BC38</f>
        <v>14982</v>
      </c>
      <c r="BD39" s="44">
        <f t="shared" si="52"/>
        <v>14779</v>
      </c>
      <c r="BE39" s="44">
        <f t="shared" si="52"/>
        <v>15249</v>
      </c>
      <c r="BF39" s="44">
        <f t="shared" si="52"/>
        <v>13634</v>
      </c>
      <c r="BG39" s="44">
        <f t="shared" si="52"/>
        <v>19147</v>
      </c>
      <c r="BH39" s="44">
        <f t="shared" si="52"/>
        <v>18391</v>
      </c>
      <c r="BI39" s="44">
        <f t="shared" ref="BI39:BO39" si="53">BI33-BI38</f>
        <v>20184</v>
      </c>
      <c r="BJ39" s="44">
        <f t="shared" si="53"/>
        <v>17087</v>
      </c>
      <c r="BK39" s="44">
        <f t="shared" si="53"/>
        <v>25007</v>
      </c>
      <c r="BL39" s="44">
        <f t="shared" si="53"/>
        <v>23888</v>
      </c>
      <c r="BM39" s="44">
        <f t="shared" si="53"/>
        <v>26913</v>
      </c>
      <c r="BN39" s="44">
        <f t="shared" si="53"/>
        <v>26766</v>
      </c>
      <c r="BO39" s="44">
        <f>BO33-BO38</f>
        <v>31846</v>
      </c>
      <c r="BP39" s="44"/>
      <c r="BQ39" s="44"/>
      <c r="BR39" s="44"/>
      <c r="BS39" s="44"/>
      <c r="BT39" s="44">
        <v>-26</v>
      </c>
      <c r="BU39" s="44">
        <v>2</v>
      </c>
      <c r="BV39" s="44">
        <v>3</v>
      </c>
      <c r="BW39" s="44">
        <v>49</v>
      </c>
      <c r="BX39" s="44">
        <v>27</v>
      </c>
      <c r="BY39" s="44">
        <f>-63-41-45+78+9-2-2+7</f>
        <v>-59</v>
      </c>
      <c r="BZ39" s="44">
        <f>-38-44+7-32-31+4+5+12</f>
        <v>-117</v>
      </c>
      <c r="CA39" s="44"/>
      <c r="CB39" s="44"/>
      <c r="CC39" s="44"/>
      <c r="CD39" s="44"/>
      <c r="CE39" s="44">
        <f t="shared" ref="CE39:CL39" si="54">CE33-CE38</f>
        <v>14592</v>
      </c>
      <c r="CF39" s="44">
        <f t="shared" si="54"/>
        <v>18891</v>
      </c>
      <c r="CG39" s="44">
        <f>CG33-CG38</f>
        <v>22374</v>
      </c>
      <c r="CH39" s="44">
        <f>CH33-CH38</f>
        <v>29474</v>
      </c>
      <c r="CI39" s="44">
        <f t="shared" si="54"/>
        <v>0</v>
      </c>
      <c r="CJ39" s="44">
        <f t="shared" si="54"/>
        <v>34492</v>
      </c>
      <c r="CK39" s="44">
        <f t="shared" si="54"/>
        <v>49444</v>
      </c>
      <c r="CL39" s="44">
        <f t="shared" si="54"/>
        <v>48432</v>
      </c>
      <c r="CM39" s="46">
        <f>CM33-CM38</f>
        <v>47926</v>
      </c>
      <c r="CN39" s="46">
        <f t="shared" ref="CN39:CT39" si="55">CN33-CN38</f>
        <v>46096</v>
      </c>
      <c r="CO39" s="46">
        <f t="shared" si="55"/>
        <v>52483</v>
      </c>
      <c r="CP39" s="46">
        <f t="shared" si="55"/>
        <v>54126</v>
      </c>
      <c r="CQ39" s="46">
        <f t="shared" si="55"/>
        <v>58644</v>
      </c>
      <c r="CR39" s="46">
        <f t="shared" si="55"/>
        <v>74809</v>
      </c>
      <c r="CS39" s="46">
        <f>CS33-CS38</f>
        <v>102574</v>
      </c>
      <c r="CT39" s="46">
        <f t="shared" si="55"/>
        <v>0</v>
      </c>
      <c r="CU39" s="46"/>
      <c r="CV39" s="46"/>
      <c r="CW39" s="46"/>
      <c r="CX39" s="46"/>
      <c r="CY39" s="46"/>
      <c r="CZ39" s="46"/>
      <c r="DA39" s="40"/>
      <c r="DB39" s="40"/>
      <c r="DC39" s="40"/>
      <c r="DD39" s="40"/>
      <c r="DE39" s="40"/>
      <c r="DF39" s="40"/>
      <c r="DG39" s="40"/>
      <c r="DH39" s="40"/>
      <c r="DI39" s="40"/>
      <c r="DJ39" s="40"/>
      <c r="DK39" s="40"/>
      <c r="DL39" s="40"/>
      <c r="DM39" s="40"/>
      <c r="DN39" s="40"/>
      <c r="DO39" s="40"/>
      <c r="DP39" s="40"/>
      <c r="DQ39" s="40"/>
      <c r="DR39" s="40"/>
      <c r="DS39" s="40"/>
      <c r="DT39" s="40"/>
      <c r="DU39" s="40"/>
      <c r="DV39" s="40"/>
      <c r="DW39" s="40"/>
      <c r="DX39" s="40"/>
      <c r="DY39" s="40"/>
      <c r="DZ39" s="40"/>
      <c r="EA39" s="40"/>
      <c r="EB39" s="40"/>
      <c r="EC39" s="40"/>
      <c r="ED39" s="40"/>
      <c r="EE39" s="40"/>
      <c r="EF39" s="40"/>
      <c r="EG39" s="40"/>
      <c r="EH39" s="40"/>
      <c r="EI39" s="40"/>
      <c r="EJ39" s="40"/>
      <c r="EK39" s="40"/>
    </row>
    <row r="40" spans="1:141" ht="13" customHeight="1">
      <c r="A40" s="41"/>
      <c r="B40" s="47" t="s">
        <v>201</v>
      </c>
      <c r="C40" s="44">
        <v>-67</v>
      </c>
      <c r="D40" s="44">
        <v>-3</v>
      </c>
      <c r="E40" s="44">
        <v>-58</v>
      </c>
      <c r="F40" s="44">
        <v>4</v>
      </c>
      <c r="G40" s="44">
        <v>-35</v>
      </c>
      <c r="H40" s="44">
        <v>-11</v>
      </c>
      <c r="I40" s="44">
        <v>-7</v>
      </c>
      <c r="J40" s="44">
        <v>-2</v>
      </c>
      <c r="K40" s="44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  <c r="AA40" s="44"/>
      <c r="AB40" s="44"/>
      <c r="AC40" s="44"/>
      <c r="AD40" s="44"/>
      <c r="AE40" s="44"/>
      <c r="AF40" s="44"/>
      <c r="AG40" s="44"/>
      <c r="AH40" s="44"/>
      <c r="AI40" s="44"/>
      <c r="AJ40" s="44"/>
      <c r="AK40" s="44"/>
      <c r="AL40" s="44"/>
      <c r="AM40" s="44"/>
      <c r="AN40" s="44"/>
      <c r="AO40" s="44"/>
      <c r="AP40" s="44"/>
      <c r="AQ40" s="44"/>
      <c r="AR40" s="44"/>
      <c r="AS40" s="44"/>
      <c r="AT40" s="44"/>
      <c r="AU40" s="44"/>
      <c r="AV40" s="44"/>
      <c r="AW40" s="44"/>
      <c r="AX40" s="44"/>
      <c r="AY40" s="44"/>
      <c r="AZ40" s="44"/>
      <c r="BA40" s="44"/>
      <c r="BB40" s="44"/>
      <c r="BC40" s="44"/>
      <c r="BD40" s="44"/>
      <c r="BE40" s="44"/>
      <c r="BF40" s="44"/>
      <c r="BG40" s="44"/>
      <c r="BH40" s="44"/>
      <c r="BI40" s="44"/>
      <c r="BJ40" s="44"/>
      <c r="BK40" s="44"/>
      <c r="BL40" s="44"/>
      <c r="BM40" s="44"/>
      <c r="BN40" s="44"/>
      <c r="BO40" s="44"/>
      <c r="BP40" s="44"/>
      <c r="BQ40" s="44"/>
      <c r="BR40" s="44"/>
      <c r="BS40" s="44"/>
      <c r="BT40" s="44">
        <v>379</v>
      </c>
      <c r="BU40" s="44">
        <v>218</v>
      </c>
      <c r="BV40" s="44">
        <v>539</v>
      </c>
      <c r="BW40" s="44">
        <v>368</v>
      </c>
      <c r="BX40" s="44">
        <v>555</v>
      </c>
      <c r="BY40" s="44">
        <f>421+446+177+438</f>
        <v>1482</v>
      </c>
      <c r="BZ40" s="44">
        <f>178+104+125+491</f>
        <v>898</v>
      </c>
      <c r="CA40" s="38"/>
      <c r="CB40" s="38"/>
      <c r="CC40" s="38"/>
      <c r="CD40" s="38"/>
      <c r="CE40" s="38"/>
      <c r="CF40" s="44"/>
      <c r="CG40" s="38"/>
      <c r="CH40" s="38"/>
      <c r="CI40" s="44"/>
      <c r="CJ40" s="44"/>
      <c r="CK40" s="44"/>
      <c r="CL40" s="46"/>
      <c r="CM40" s="46"/>
      <c r="CN40" s="46"/>
      <c r="CO40" s="46"/>
      <c r="CP40" s="46"/>
      <c r="CQ40" s="46"/>
      <c r="CR40" s="46"/>
      <c r="CS40" s="46"/>
      <c r="CT40" s="46"/>
      <c r="CU40" s="46"/>
      <c r="CV40" s="46"/>
      <c r="CW40" s="46"/>
      <c r="CX40" s="46"/>
      <c r="CY40" s="46"/>
      <c r="CZ40" s="46"/>
      <c r="DA40" s="40"/>
      <c r="DB40" s="40"/>
      <c r="DC40" s="40"/>
      <c r="DD40" s="40"/>
      <c r="DE40" s="40"/>
      <c r="DF40" s="40"/>
      <c r="DG40" s="40"/>
      <c r="DH40" s="40"/>
      <c r="DI40" s="40"/>
      <c r="DJ40" s="40"/>
      <c r="DK40" s="40"/>
      <c r="DL40" s="40"/>
      <c r="DM40" s="40"/>
      <c r="DN40" s="40"/>
      <c r="DO40" s="40"/>
      <c r="DP40" s="40"/>
      <c r="DQ40" s="40"/>
      <c r="DR40" s="40"/>
      <c r="DS40" s="40"/>
      <c r="DT40" s="40"/>
      <c r="DU40" s="40"/>
      <c r="DV40" s="40"/>
      <c r="DW40" s="40"/>
      <c r="DX40" s="40"/>
      <c r="DY40" s="40"/>
      <c r="DZ40" s="40"/>
      <c r="EA40" s="40"/>
      <c r="EB40" s="40"/>
      <c r="EC40" s="40"/>
      <c r="ED40" s="40"/>
      <c r="EE40" s="40"/>
      <c r="EF40" s="40"/>
      <c r="EG40" s="40"/>
      <c r="EH40" s="40"/>
      <c r="EI40" s="40"/>
      <c r="EJ40" s="40"/>
      <c r="EK40" s="40"/>
    </row>
    <row r="41" spans="1:141" ht="13" customHeight="1">
      <c r="A41" s="41"/>
      <c r="B41" s="47" t="s">
        <v>140</v>
      </c>
      <c r="C41" s="44">
        <v>474</v>
      </c>
      <c r="D41" s="44">
        <v>429</v>
      </c>
      <c r="E41" s="44">
        <v>306</v>
      </c>
      <c r="F41" s="44">
        <v>-82</v>
      </c>
      <c r="G41" s="44">
        <v>142</v>
      </c>
      <c r="H41" s="44">
        <v>166</v>
      </c>
      <c r="I41" s="44">
        <v>9</v>
      </c>
      <c r="J41" s="44">
        <v>58</v>
      </c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  <c r="AB41" s="44">
        <v>256</v>
      </c>
      <c r="AC41" s="44"/>
      <c r="AD41" s="44"/>
      <c r="AE41" s="44"/>
      <c r="AF41" s="44"/>
      <c r="AG41" s="44"/>
      <c r="AH41" s="44"/>
      <c r="AI41" s="44"/>
      <c r="AJ41" s="44"/>
      <c r="AK41" s="44"/>
      <c r="AL41" s="44"/>
      <c r="AM41" s="44"/>
      <c r="AN41" s="44"/>
      <c r="AO41" s="44"/>
      <c r="AP41" s="44"/>
      <c r="AQ41" s="44"/>
      <c r="AR41" s="44"/>
      <c r="AS41" s="44"/>
      <c r="AT41" s="44"/>
      <c r="AU41" s="44"/>
      <c r="AV41" s="44"/>
      <c r="AW41" s="44"/>
      <c r="AX41" s="44"/>
      <c r="AY41" s="44"/>
      <c r="AZ41" s="44"/>
      <c r="BA41" s="44"/>
      <c r="BB41" s="44"/>
      <c r="BC41" s="44"/>
      <c r="BD41" s="44"/>
      <c r="BE41" s="44"/>
      <c r="BF41" s="44"/>
      <c r="BG41" s="44"/>
      <c r="BH41" s="44"/>
      <c r="BI41" s="44"/>
      <c r="BJ41" s="44"/>
      <c r="BK41" s="44"/>
      <c r="BL41" s="44"/>
      <c r="BM41" s="44"/>
      <c r="BN41" s="44"/>
      <c r="BO41" s="44"/>
      <c r="BP41" s="44"/>
      <c r="BQ41" s="44"/>
      <c r="BR41" s="44"/>
      <c r="BS41" s="44"/>
      <c r="BT41" s="44">
        <v>-110</v>
      </c>
      <c r="BU41" s="44">
        <v>-398</v>
      </c>
      <c r="BV41" s="44">
        <v>-361</v>
      </c>
      <c r="BW41" s="44">
        <v>-132</v>
      </c>
      <c r="BX41" s="44">
        <v>-181</v>
      </c>
      <c r="BY41" s="44">
        <f>-133-116-103-117</f>
        <v>-469</v>
      </c>
      <c r="BZ41" s="44">
        <f>-22-44-52-186</f>
        <v>-304</v>
      </c>
      <c r="CA41" s="38"/>
      <c r="CB41" s="38"/>
      <c r="CC41" s="38"/>
      <c r="CD41" s="38"/>
      <c r="CE41" s="38"/>
      <c r="CF41" s="44"/>
      <c r="CG41" s="44"/>
      <c r="CH41" s="44"/>
      <c r="CI41" s="44"/>
      <c r="CJ41" s="44"/>
      <c r="CK41" s="44"/>
      <c r="CL41" s="46"/>
      <c r="CM41" s="46"/>
      <c r="CN41" s="46"/>
      <c r="CO41" s="46">
        <v>-3930</v>
      </c>
      <c r="CP41" s="46">
        <v>-996</v>
      </c>
      <c r="CQ41" s="46">
        <v>436</v>
      </c>
      <c r="CR41" s="46">
        <v>-5747</v>
      </c>
      <c r="CS41" s="46"/>
      <c r="CT41" s="46"/>
      <c r="CU41" s="46"/>
      <c r="CV41" s="46"/>
      <c r="CW41" s="46"/>
      <c r="CX41" s="46"/>
      <c r="CY41" s="46"/>
      <c r="CZ41" s="46"/>
      <c r="DA41" s="40"/>
      <c r="DB41" s="40"/>
      <c r="DC41" s="40"/>
      <c r="DD41" s="40"/>
      <c r="DE41" s="40"/>
      <c r="DF41" s="40"/>
      <c r="DG41" s="40"/>
      <c r="DH41" s="40"/>
      <c r="DI41" s="40"/>
      <c r="DJ41" s="40"/>
      <c r="DK41" s="40"/>
      <c r="DL41" s="40"/>
      <c r="DM41" s="40"/>
      <c r="DN41" s="40"/>
      <c r="DO41" s="40"/>
      <c r="DP41" s="40"/>
      <c r="DQ41" s="40"/>
      <c r="DR41" s="40"/>
      <c r="DS41" s="40"/>
      <c r="DT41" s="40"/>
      <c r="DU41" s="40"/>
      <c r="DV41" s="40"/>
      <c r="DW41" s="40"/>
      <c r="DX41" s="40"/>
      <c r="DY41" s="40"/>
      <c r="DZ41" s="40"/>
      <c r="EA41" s="40"/>
      <c r="EB41" s="40"/>
      <c r="EC41" s="40"/>
      <c r="ED41" s="40"/>
      <c r="EE41" s="40"/>
      <c r="EF41" s="40"/>
      <c r="EG41" s="40"/>
      <c r="EH41" s="40"/>
      <c r="EI41" s="40"/>
      <c r="EJ41" s="40"/>
      <c r="EK41" s="40"/>
    </row>
    <row r="42" spans="1:141" ht="13" customHeight="1">
      <c r="A42" s="41"/>
      <c r="B42" s="47" t="s">
        <v>141</v>
      </c>
      <c r="C42" s="44">
        <v>368</v>
      </c>
      <c r="D42" s="44">
        <v>-21</v>
      </c>
      <c r="E42" s="44">
        <v>66</v>
      </c>
      <c r="F42" s="44">
        <v>-226</v>
      </c>
      <c r="G42" s="44">
        <v>-412</v>
      </c>
      <c r="H42" s="44">
        <v>-361</v>
      </c>
      <c r="I42" s="44">
        <v>-209</v>
      </c>
      <c r="J42" s="44">
        <v>-283</v>
      </c>
      <c r="K42" s="44">
        <v>-65</v>
      </c>
      <c r="L42" s="44">
        <f>-4+146-575</f>
        <v>-433</v>
      </c>
      <c r="M42" s="44">
        <f>-22+31-477</f>
        <v>-468</v>
      </c>
      <c r="N42" s="44">
        <f>+M42</f>
        <v>-468</v>
      </c>
      <c r="O42" s="44">
        <f>84-212</f>
        <v>-128</v>
      </c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  <c r="AA42" s="44"/>
      <c r="AB42" s="39"/>
      <c r="AC42" s="44"/>
      <c r="AD42" s="44"/>
      <c r="AE42" s="44"/>
      <c r="AF42" s="44"/>
      <c r="AG42" s="44"/>
      <c r="AH42" s="44"/>
      <c r="AI42" s="44"/>
      <c r="AJ42" s="44"/>
      <c r="AK42" s="44"/>
      <c r="AL42" s="44"/>
      <c r="AM42" s="44"/>
      <c r="AN42" s="44"/>
      <c r="AO42" s="44"/>
      <c r="AP42" s="44"/>
      <c r="AQ42" s="44"/>
      <c r="AR42" s="44"/>
      <c r="AS42" s="44"/>
      <c r="AT42" s="44"/>
      <c r="AU42" s="44"/>
      <c r="AV42" s="44"/>
      <c r="AW42" s="44"/>
      <c r="AX42" s="44">
        <v>794</v>
      </c>
      <c r="AY42" s="44">
        <v>1281</v>
      </c>
      <c r="AZ42" s="44">
        <v>422</v>
      </c>
      <c r="BA42" s="44">
        <v>117</v>
      </c>
      <c r="BB42" s="44">
        <v>-824</v>
      </c>
      <c r="BC42" s="44">
        <v>-956</v>
      </c>
      <c r="BD42" s="44">
        <f>-90-48</f>
        <v>-138</v>
      </c>
      <c r="BE42" s="44">
        <v>137</v>
      </c>
      <c r="BF42" s="44">
        <v>521</v>
      </c>
      <c r="BG42" s="44">
        <v>1228</v>
      </c>
      <c r="BH42" s="44">
        <f>-1656+3252</f>
        <v>1596</v>
      </c>
      <c r="BI42" s="44">
        <f>-1573+3725</f>
        <v>2152</v>
      </c>
      <c r="BJ42" s="44">
        <v>771</v>
      </c>
      <c r="BK42" s="44">
        <v>270</v>
      </c>
      <c r="BL42" s="44">
        <v>-366</v>
      </c>
      <c r="BM42" s="44">
        <v>-1150</v>
      </c>
      <c r="BN42" s="44">
        <v>-854</v>
      </c>
      <c r="BO42" s="44">
        <v>-72</v>
      </c>
      <c r="BP42" s="44"/>
      <c r="BQ42" s="44"/>
      <c r="BR42" s="44"/>
      <c r="BS42" s="44"/>
      <c r="BT42" s="44">
        <f t="shared" ref="BT42:BZ42" si="56">BT38+SUM(BT39:BT41)</f>
        <v>3176</v>
      </c>
      <c r="BU42" s="44">
        <f t="shared" si="56"/>
        <v>3349</v>
      </c>
      <c r="BV42" s="44">
        <f t="shared" si="56"/>
        <v>4884</v>
      </c>
      <c r="BW42" s="44">
        <f t="shared" si="56"/>
        <v>5695</v>
      </c>
      <c r="BX42" s="44">
        <f t="shared" si="56"/>
        <v>6328</v>
      </c>
      <c r="BY42" s="44">
        <f t="shared" si="56"/>
        <v>954</v>
      </c>
      <c r="BZ42" s="44">
        <f t="shared" si="56"/>
        <v>477</v>
      </c>
      <c r="CA42" s="38"/>
      <c r="CB42" s="38"/>
      <c r="CC42" s="38"/>
      <c r="CD42" s="38"/>
      <c r="CE42" s="38"/>
      <c r="CF42" s="44">
        <f>1452-2057</f>
        <v>-605</v>
      </c>
      <c r="CG42" s="44">
        <f>514-963</f>
        <v>-449</v>
      </c>
      <c r="CH42" s="44">
        <f>125-1788</f>
        <v>-1663</v>
      </c>
      <c r="CI42" s="44"/>
      <c r="CJ42" s="44">
        <f>167-563</f>
        <v>-396</v>
      </c>
      <c r="CK42" s="44">
        <f>85-6046</f>
        <v>-5961</v>
      </c>
      <c r="CL42" s="46">
        <f>92-726</f>
        <v>-634</v>
      </c>
      <c r="CM42" s="46"/>
      <c r="CN42" s="46"/>
      <c r="CO42" s="46"/>
      <c r="CP42" s="46"/>
      <c r="CQ42" s="46"/>
      <c r="CR42" s="46"/>
      <c r="CS42" s="46">
        <f>SUM(Model!BK42:BN42)</f>
        <v>-2100</v>
      </c>
      <c r="CT42" s="46"/>
      <c r="CU42" s="46"/>
      <c r="CV42" s="46"/>
      <c r="CW42" s="46"/>
      <c r="CX42" s="46"/>
      <c r="CY42" s="46"/>
      <c r="CZ42" s="46"/>
      <c r="DA42" s="40"/>
      <c r="DB42" s="40"/>
      <c r="DC42" s="40"/>
      <c r="DD42" s="40"/>
      <c r="DE42" s="40"/>
      <c r="DF42" s="40"/>
      <c r="DG42" s="40"/>
      <c r="DH42" s="40"/>
      <c r="DI42" s="40"/>
      <c r="DJ42" s="40"/>
      <c r="DK42" s="40"/>
      <c r="DL42" s="40"/>
      <c r="DM42" s="40"/>
      <c r="DN42" s="40"/>
      <c r="DO42" s="40"/>
      <c r="DP42" s="40"/>
      <c r="DQ42" s="40"/>
      <c r="DR42" s="40"/>
      <c r="DS42" s="40"/>
      <c r="DT42" s="40"/>
      <c r="DU42" s="40"/>
      <c r="DV42" s="40"/>
      <c r="DW42" s="40"/>
      <c r="DX42" s="40"/>
      <c r="DY42" s="40"/>
      <c r="DZ42" s="40"/>
      <c r="EA42" s="40"/>
      <c r="EB42" s="40"/>
      <c r="EC42" s="40"/>
      <c r="ED42" s="40"/>
      <c r="EE42" s="40"/>
      <c r="EF42" s="40"/>
      <c r="EG42" s="40"/>
      <c r="EH42" s="40"/>
      <c r="EI42" s="40"/>
      <c r="EJ42" s="40"/>
      <c r="EK42" s="40"/>
    </row>
    <row r="43" spans="1:141" ht="13" customHeight="1">
      <c r="A43" s="41"/>
      <c r="B43" s="47" t="s">
        <v>199</v>
      </c>
      <c r="C43" s="44">
        <f t="shared" ref="C43:O43" si="57">SUM(C39:C42)</f>
        <v>3824</v>
      </c>
      <c r="D43" s="44">
        <f t="shared" si="57"/>
        <v>3406</v>
      </c>
      <c r="E43" s="44">
        <f t="shared" si="57"/>
        <v>3588</v>
      </c>
      <c r="F43" s="44">
        <f t="shared" si="57"/>
        <v>3070</v>
      </c>
      <c r="G43" s="44">
        <f t="shared" si="57"/>
        <v>3505</v>
      </c>
      <c r="H43" s="44">
        <f t="shared" si="57"/>
        <v>3884</v>
      </c>
      <c r="I43" s="44">
        <f t="shared" si="57"/>
        <v>3607</v>
      </c>
      <c r="J43" s="44">
        <f t="shared" si="57"/>
        <v>2992</v>
      </c>
      <c r="K43" s="44">
        <f t="shared" si="57"/>
        <v>4317</v>
      </c>
      <c r="L43" s="44">
        <f t="shared" si="57"/>
        <v>4608</v>
      </c>
      <c r="M43" s="44">
        <f t="shared" si="57"/>
        <v>4656</v>
      </c>
      <c r="N43" s="44">
        <f t="shared" si="57"/>
        <v>4907.2000000000007</v>
      </c>
      <c r="O43" s="44">
        <f t="shared" si="57"/>
        <v>5290</v>
      </c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  <c r="AA43" s="44"/>
      <c r="AB43" s="44">
        <f>+AB41+AB39</f>
        <v>8581</v>
      </c>
      <c r="AC43" s="44"/>
      <c r="AD43" s="44"/>
      <c r="AE43" s="44"/>
      <c r="AF43" s="44"/>
      <c r="AG43" s="44"/>
      <c r="AH43" s="44"/>
      <c r="AI43" s="44"/>
      <c r="AJ43" s="44"/>
      <c r="AK43" s="44"/>
      <c r="AL43" s="44"/>
      <c r="AM43" s="44"/>
      <c r="AN43" s="44"/>
      <c r="AO43" s="44"/>
      <c r="AP43" s="44"/>
      <c r="AQ43" s="44"/>
      <c r="AR43" s="44"/>
      <c r="AS43" s="44"/>
      <c r="AT43" s="44"/>
      <c r="AU43" s="44"/>
      <c r="AV43" s="44"/>
      <c r="AW43" s="44"/>
      <c r="AX43" s="44">
        <f t="shared" ref="AX43:BB43" si="58">AX39-AX42</f>
        <v>11079</v>
      </c>
      <c r="AY43" s="44">
        <f t="shared" si="58"/>
        <v>15021</v>
      </c>
      <c r="AZ43" s="44">
        <f t="shared" si="58"/>
        <v>13416</v>
      </c>
      <c r="BA43" s="44">
        <f t="shared" si="58"/>
        <v>12691</v>
      </c>
      <c r="BB43" s="44">
        <f t="shared" si="58"/>
        <v>12002</v>
      </c>
      <c r="BC43" s="44">
        <f>BC39-BC42</f>
        <v>15938</v>
      </c>
      <c r="BD43" s="44">
        <f>BD39-BD42</f>
        <v>14917</v>
      </c>
      <c r="BE43" s="44">
        <f t="shared" ref="BE43:BO43" si="59">BE39-BE42</f>
        <v>15112</v>
      </c>
      <c r="BF43" s="44">
        <f t="shared" si="59"/>
        <v>13113</v>
      </c>
      <c r="BG43" s="44">
        <f t="shared" si="59"/>
        <v>17919</v>
      </c>
      <c r="BH43" s="44">
        <f t="shared" si="59"/>
        <v>16795</v>
      </c>
      <c r="BI43" s="44">
        <f t="shared" si="59"/>
        <v>18032</v>
      </c>
      <c r="BJ43" s="44">
        <f t="shared" si="59"/>
        <v>16316</v>
      </c>
      <c r="BK43" s="44">
        <f t="shared" si="59"/>
        <v>24737</v>
      </c>
      <c r="BL43" s="44">
        <f t="shared" si="59"/>
        <v>24254</v>
      </c>
      <c r="BM43" s="44">
        <f t="shared" si="59"/>
        <v>28063</v>
      </c>
      <c r="BN43" s="44">
        <f t="shared" si="59"/>
        <v>27620</v>
      </c>
      <c r="BO43" s="44">
        <f t="shared" si="59"/>
        <v>31918</v>
      </c>
      <c r="BP43" s="44"/>
      <c r="BQ43" s="44"/>
      <c r="BR43" s="44"/>
      <c r="BS43" s="44"/>
      <c r="BT43" s="44">
        <v>-1160</v>
      </c>
      <c r="BU43" s="44">
        <v>-1348</v>
      </c>
      <c r="BV43" s="44">
        <v>-1730</v>
      </c>
      <c r="BW43" s="44">
        <v>-2075</v>
      </c>
      <c r="BX43" s="44">
        <v>-2212</v>
      </c>
      <c r="BY43" s="44"/>
      <c r="BZ43" s="44"/>
      <c r="CA43" s="44"/>
      <c r="CB43" s="44"/>
      <c r="CC43" s="44"/>
      <c r="CD43" s="44"/>
      <c r="CE43" s="44">
        <f t="shared" ref="CE43:CI43" si="60">CE39+SUM(CE40:CE42)</f>
        <v>14592</v>
      </c>
      <c r="CF43" s="44">
        <f t="shared" si="60"/>
        <v>18286</v>
      </c>
      <c r="CG43" s="44">
        <f t="shared" si="60"/>
        <v>21925</v>
      </c>
      <c r="CH43" s="44">
        <f t="shared" si="60"/>
        <v>27811</v>
      </c>
      <c r="CI43" s="44">
        <f t="shared" si="60"/>
        <v>0</v>
      </c>
      <c r="CJ43" s="44">
        <f>CJ39+SUM(CJ40:CJ42)</f>
        <v>34096</v>
      </c>
      <c r="CK43" s="44">
        <f>CK39+SUM(CK40:CK42)</f>
        <v>43483</v>
      </c>
      <c r="CL43" s="44">
        <f>CL39+SUM(CL40:CL42)</f>
        <v>47798</v>
      </c>
      <c r="CM43" s="46"/>
      <c r="CN43" s="46"/>
      <c r="CO43" s="46">
        <f>+CO39+CO41</f>
        <v>48553</v>
      </c>
      <c r="CP43" s="46">
        <f>+CP39+CP41</f>
        <v>53130</v>
      </c>
      <c r="CQ43" s="46">
        <f>+CQ39+CQ41</f>
        <v>59080</v>
      </c>
      <c r="CR43" s="46">
        <f>+CR39+CR41</f>
        <v>69062</v>
      </c>
      <c r="CS43" s="46">
        <f>+CS39+CS42</f>
        <v>100474</v>
      </c>
      <c r="CT43" s="46"/>
      <c r="CU43" s="46"/>
      <c r="CV43" s="46"/>
      <c r="CW43" s="46"/>
      <c r="CX43" s="46"/>
      <c r="CY43" s="46"/>
      <c r="CZ43" s="46"/>
      <c r="DA43" s="40"/>
      <c r="DB43" s="40"/>
      <c r="DC43" s="40"/>
      <c r="DD43" s="40"/>
      <c r="DE43" s="40"/>
      <c r="DF43" s="40"/>
      <c r="DG43" s="40"/>
      <c r="DH43" s="40"/>
      <c r="DI43" s="40"/>
      <c r="DJ43" s="40"/>
      <c r="DK43" s="40"/>
      <c r="DL43" s="40"/>
      <c r="DM43" s="40"/>
      <c r="DN43" s="40"/>
      <c r="DO43" s="40"/>
      <c r="DP43" s="40"/>
      <c r="DQ43" s="40"/>
      <c r="DR43" s="40"/>
      <c r="DS43" s="40"/>
      <c r="DT43" s="40"/>
      <c r="DU43" s="40"/>
      <c r="DV43" s="40"/>
      <c r="DW43" s="40"/>
      <c r="DX43" s="40"/>
      <c r="DY43" s="40"/>
      <c r="DZ43" s="40"/>
      <c r="EA43" s="40"/>
      <c r="EB43" s="40"/>
      <c r="EC43" s="40"/>
      <c r="ED43" s="40"/>
      <c r="EE43" s="40"/>
      <c r="EF43" s="40"/>
      <c r="EG43" s="40"/>
      <c r="EH43" s="40"/>
      <c r="EI43" s="40"/>
      <c r="EJ43" s="40"/>
      <c r="EK43" s="40"/>
    </row>
    <row r="44" spans="1:141" ht="13" customHeight="1">
      <c r="A44" s="41"/>
      <c r="B44" s="47" t="s">
        <v>204</v>
      </c>
      <c r="C44" s="44">
        <f t="shared" ref="C44:J44" si="61">C43-C45</f>
        <v>1644</v>
      </c>
      <c r="D44" s="44">
        <f t="shared" si="61"/>
        <v>935</v>
      </c>
      <c r="E44" s="44">
        <f t="shared" si="61"/>
        <v>924</v>
      </c>
      <c r="F44" s="44">
        <f t="shared" si="61"/>
        <v>740</v>
      </c>
      <c r="G44" s="44">
        <f t="shared" si="61"/>
        <v>806</v>
      </c>
      <c r="H44" s="44">
        <f t="shared" si="61"/>
        <v>893</v>
      </c>
      <c r="I44" s="44">
        <f t="shared" si="61"/>
        <v>852</v>
      </c>
      <c r="J44" s="44">
        <f t="shared" si="61"/>
        <v>669</v>
      </c>
      <c r="K44" s="44">
        <v>993</v>
      </c>
      <c r="L44" s="44">
        <v>1060</v>
      </c>
      <c r="M44" s="44">
        <v>1071</v>
      </c>
      <c r="N44" s="44">
        <f>+N43*0.25</f>
        <v>1226.8000000000002</v>
      </c>
      <c r="O44" s="44">
        <f>O43-O45</f>
        <v>1217</v>
      </c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  <c r="AA44" s="44"/>
      <c r="AB44" s="44">
        <f>+AB43-6994</f>
        <v>1587</v>
      </c>
      <c r="AC44" s="44"/>
      <c r="AD44" s="44"/>
      <c r="AE44" s="44"/>
      <c r="AF44" s="44"/>
      <c r="AG44" s="44"/>
      <c r="AH44" s="44"/>
      <c r="AI44" s="44"/>
      <c r="AJ44" s="44"/>
      <c r="AK44" s="44"/>
      <c r="AL44" s="44"/>
      <c r="AM44" s="44"/>
      <c r="AN44" s="44"/>
      <c r="AO44" s="44"/>
      <c r="AP44" s="44"/>
      <c r="AQ44" s="44"/>
      <c r="AR44" s="44"/>
      <c r="AS44" s="44"/>
      <c r="AT44" s="44"/>
      <c r="AU44" s="44"/>
      <c r="AV44" s="44"/>
      <c r="AW44" s="44"/>
      <c r="AX44" s="44">
        <v>2362</v>
      </c>
      <c r="AY44" s="44">
        <v>3124</v>
      </c>
      <c r="AZ44" s="44">
        <v>2791</v>
      </c>
      <c r="BA44" s="44">
        <v>2393</v>
      </c>
      <c r="BB44" s="44">
        <v>2684</v>
      </c>
      <c r="BC44" s="44">
        <v>3315</v>
      </c>
      <c r="BD44" s="44">
        <v>2794</v>
      </c>
      <c r="BE44" s="44">
        <v>2993</v>
      </c>
      <c r="BF44" s="44">
        <v>2221</v>
      </c>
      <c r="BG44" s="44">
        <v>3709</v>
      </c>
      <c r="BH44" s="44">
        <v>3477</v>
      </c>
      <c r="BI44" s="44">
        <v>3627</v>
      </c>
      <c r="BJ44" s="44">
        <v>2724</v>
      </c>
      <c r="BK44" s="44">
        <v>4923</v>
      </c>
      <c r="BL44" s="44">
        <v>4826</v>
      </c>
      <c r="BM44" s="44">
        <v>5585</v>
      </c>
      <c r="BN44" s="44">
        <v>5657</v>
      </c>
      <c r="BO44" s="44">
        <v>6511</v>
      </c>
      <c r="BP44" s="44"/>
      <c r="BQ44" s="44"/>
      <c r="BR44" s="44"/>
      <c r="BS44" s="44"/>
      <c r="BT44" s="44">
        <f t="shared" ref="BT44:BZ44" si="62">BT42+BT43</f>
        <v>2016</v>
      </c>
      <c r="BU44" s="44">
        <f t="shared" si="62"/>
        <v>2001</v>
      </c>
      <c r="BV44" s="44">
        <f t="shared" si="62"/>
        <v>3154</v>
      </c>
      <c r="BW44" s="44">
        <f t="shared" si="62"/>
        <v>3620</v>
      </c>
      <c r="BX44" s="44">
        <f t="shared" si="62"/>
        <v>4116</v>
      </c>
      <c r="BY44" s="44">
        <f t="shared" si="62"/>
        <v>954</v>
      </c>
      <c r="BZ44" s="44">
        <f t="shared" si="62"/>
        <v>477</v>
      </c>
      <c r="CA44" s="38"/>
      <c r="CB44" s="38"/>
      <c r="CC44" s="38"/>
      <c r="CD44" s="38"/>
      <c r="CE44" s="44">
        <f>+CE43*0.35</f>
        <v>5107.2</v>
      </c>
      <c r="CF44" s="44">
        <v>3883</v>
      </c>
      <c r="CG44" s="44">
        <v>4828</v>
      </c>
      <c r="CH44" s="44">
        <v>6379</v>
      </c>
      <c r="CI44" s="44"/>
      <c r="CJ44" s="44">
        <v>7615</v>
      </c>
      <c r="CK44" s="44">
        <v>8623</v>
      </c>
      <c r="CL44" s="46">
        <v>9873</v>
      </c>
      <c r="CM44" s="46"/>
      <c r="CN44" s="46"/>
      <c r="CO44" s="46">
        <v>9602</v>
      </c>
      <c r="CP44" s="46">
        <v>10992</v>
      </c>
      <c r="CQ44" s="46">
        <v>11323</v>
      </c>
      <c r="CR44" s="46">
        <v>13537</v>
      </c>
      <c r="CS44" s="46">
        <f>SUM(Model!BK44:BN44)</f>
        <v>20991</v>
      </c>
      <c r="CT44" s="46"/>
      <c r="CU44" s="46"/>
      <c r="CV44" s="46"/>
      <c r="CW44" s="46"/>
      <c r="CX44" s="46"/>
      <c r="CY44" s="46"/>
      <c r="CZ44" s="46"/>
      <c r="DA44" s="40"/>
      <c r="DB44" s="40"/>
      <c r="DC44" s="40"/>
      <c r="DD44" s="40"/>
      <c r="DE44" s="40"/>
      <c r="DF44" s="40"/>
      <c r="DG44" s="40"/>
      <c r="DH44" s="40"/>
      <c r="DI44" s="40"/>
      <c r="DJ44" s="40"/>
      <c r="DK44" s="40"/>
      <c r="DL44" s="40"/>
      <c r="DM44" s="40"/>
      <c r="DN44" s="40"/>
      <c r="DO44" s="40"/>
      <c r="DP44" s="40"/>
      <c r="DQ44" s="40"/>
      <c r="DR44" s="40"/>
      <c r="DS44" s="40"/>
      <c r="DT44" s="40"/>
      <c r="DU44" s="40"/>
      <c r="DV44" s="40"/>
      <c r="DW44" s="40"/>
      <c r="DX44" s="40"/>
      <c r="DY44" s="40"/>
      <c r="DZ44" s="40"/>
      <c r="EA44" s="40"/>
      <c r="EB44" s="40"/>
      <c r="EC44" s="40"/>
      <c r="ED44" s="40"/>
      <c r="EE44" s="40"/>
      <c r="EF44" s="40"/>
      <c r="EG44" s="40"/>
      <c r="EH44" s="40"/>
      <c r="EI44" s="40"/>
      <c r="EJ44" s="40"/>
      <c r="EK44" s="40"/>
    </row>
    <row r="45" spans="1:141" ht="13" customHeight="1">
      <c r="A45" s="41"/>
      <c r="B45" s="47" t="s">
        <v>200</v>
      </c>
      <c r="C45" s="44">
        <v>2180</v>
      </c>
      <c r="D45" s="44">
        <v>2471</v>
      </c>
      <c r="E45" s="44">
        <v>2664</v>
      </c>
      <c r="F45" s="44">
        <v>2330</v>
      </c>
      <c r="G45" s="44">
        <v>2699</v>
      </c>
      <c r="H45" s="44">
        <v>2991</v>
      </c>
      <c r="I45" s="44">
        <v>2755</v>
      </c>
      <c r="J45" s="44">
        <v>2323</v>
      </c>
      <c r="K45" s="44">
        <f>+K43-K44</f>
        <v>3324</v>
      </c>
      <c r="L45" s="44">
        <f>+L43-L44</f>
        <v>3548</v>
      </c>
      <c r="M45" s="44">
        <f>+M43-M44</f>
        <v>3585</v>
      </c>
      <c r="N45" s="44">
        <f>+N43-N44</f>
        <v>3680.4000000000005</v>
      </c>
      <c r="O45" s="44">
        <f>4073</f>
        <v>4073</v>
      </c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  <c r="AA45" s="44"/>
      <c r="AB45" s="44">
        <f>+AB43-AB44</f>
        <v>6994</v>
      </c>
      <c r="AC45" s="44"/>
      <c r="AD45" s="44"/>
      <c r="AE45" s="44"/>
      <c r="AF45" s="44"/>
      <c r="AG45" s="44"/>
      <c r="AH45" s="44"/>
      <c r="AI45" s="44"/>
      <c r="AJ45" s="44"/>
      <c r="AK45" s="44"/>
      <c r="AL45" s="44"/>
      <c r="AM45" s="44"/>
      <c r="AN45" s="44"/>
      <c r="AO45" s="44"/>
      <c r="AP45" s="44"/>
      <c r="AQ45" s="44"/>
      <c r="AR45" s="44"/>
      <c r="AS45" s="44"/>
      <c r="AT45" s="44"/>
      <c r="AU45" s="44"/>
      <c r="AV45" s="44"/>
      <c r="AW45" s="44"/>
      <c r="AX45" s="44">
        <f t="shared" ref="AX45:BB45" si="63">AX43-AX44</f>
        <v>8717</v>
      </c>
      <c r="AY45" s="44">
        <f t="shared" si="63"/>
        <v>11897</v>
      </c>
      <c r="AZ45" s="44">
        <f t="shared" si="63"/>
        <v>10625</v>
      </c>
      <c r="BA45" s="44">
        <f t="shared" si="63"/>
        <v>10298</v>
      </c>
      <c r="BB45" s="44">
        <f t="shared" si="63"/>
        <v>9318</v>
      </c>
      <c r="BC45" s="44">
        <f>BC43-BC44</f>
        <v>12623</v>
      </c>
      <c r="BD45" s="44">
        <f>BD43-BD44</f>
        <v>12123</v>
      </c>
      <c r="BE45" s="44">
        <f t="shared" ref="BE45:BG45" si="64">BE43-BE44</f>
        <v>12119</v>
      </c>
      <c r="BF45" s="44">
        <f t="shared" si="64"/>
        <v>10892</v>
      </c>
      <c r="BG45" s="44">
        <f t="shared" si="64"/>
        <v>14210</v>
      </c>
      <c r="BH45" s="44">
        <f>BH43-BH44</f>
        <v>13318</v>
      </c>
      <c r="BI45" s="44">
        <f t="shared" ref="BI45:BO45" si="65">BI43-BI44</f>
        <v>14405</v>
      </c>
      <c r="BJ45" s="44">
        <f t="shared" si="65"/>
        <v>13592</v>
      </c>
      <c r="BK45" s="44">
        <f t="shared" si="65"/>
        <v>19814</v>
      </c>
      <c r="BL45" s="44">
        <f t="shared" si="65"/>
        <v>19428</v>
      </c>
      <c r="BM45" s="44">
        <f t="shared" si="65"/>
        <v>22478</v>
      </c>
      <c r="BN45" s="44">
        <f t="shared" si="65"/>
        <v>21963</v>
      </c>
      <c r="BO45" s="44">
        <f t="shared" si="65"/>
        <v>25407</v>
      </c>
      <c r="BP45" s="44"/>
      <c r="BQ45" s="44"/>
      <c r="BR45" s="44"/>
      <c r="BS45" s="44"/>
      <c r="BT45" s="11">
        <f t="shared" ref="BT45:BX45" si="66">BT44/BT46</f>
        <v>5.4339622641509431</v>
      </c>
      <c r="BU45" s="11">
        <f t="shared" si="66"/>
        <v>5.5909784351966199</v>
      </c>
      <c r="BV45" s="11">
        <f t="shared" si="66"/>
        <v>9.0298275927642493</v>
      </c>
      <c r="BW45" s="11">
        <f t="shared" si="66"/>
        <v>10.449736117774917</v>
      </c>
      <c r="BX45" s="11">
        <f t="shared" si="66"/>
        <v>11.849703476124272</v>
      </c>
      <c r="BY45" s="11"/>
      <c r="BZ45" s="11"/>
      <c r="CA45" s="44"/>
      <c r="CB45" s="44"/>
      <c r="CC45" s="44"/>
      <c r="CD45" s="44"/>
      <c r="CE45" s="44">
        <f t="shared" ref="CE45:CL45" si="67">CE43-CE44</f>
        <v>9484.7999999999993</v>
      </c>
      <c r="CF45" s="44">
        <f>CF43-CF44</f>
        <v>14403</v>
      </c>
      <c r="CG45" s="44">
        <f t="shared" si="67"/>
        <v>17097</v>
      </c>
      <c r="CH45" s="44">
        <f t="shared" si="67"/>
        <v>21432</v>
      </c>
      <c r="CI45" s="44">
        <f t="shared" si="67"/>
        <v>0</v>
      </c>
      <c r="CJ45" s="44">
        <f t="shared" si="67"/>
        <v>26481</v>
      </c>
      <c r="CK45" s="44">
        <f t="shared" si="67"/>
        <v>34860</v>
      </c>
      <c r="CL45" s="44">
        <f t="shared" si="67"/>
        <v>37925</v>
      </c>
      <c r="CM45" s="46"/>
      <c r="CN45" s="46"/>
      <c r="CO45" s="46">
        <f>+CO43-CO44</f>
        <v>38951</v>
      </c>
      <c r="CP45" s="46">
        <f>+CP43-CP44</f>
        <v>42138</v>
      </c>
      <c r="CQ45" s="46">
        <f>+CQ43-CQ44</f>
        <v>47757</v>
      </c>
      <c r="CR45" s="46">
        <f>+CR43-CR44</f>
        <v>55525</v>
      </c>
      <c r="CS45" s="46">
        <f>+CS43-CS44</f>
        <v>79483</v>
      </c>
      <c r="CT45" s="46">
        <f t="shared" ref="CR45:DQ45" si="68">CS45*(1+$DC$49)</f>
        <v>81072.66</v>
      </c>
      <c r="CU45" s="46">
        <f t="shared" si="68"/>
        <v>82694.113200000007</v>
      </c>
      <c r="CV45" s="46">
        <f t="shared" si="68"/>
        <v>84347.995464000007</v>
      </c>
      <c r="CW45" s="46">
        <f t="shared" si="68"/>
        <v>86034.955373280012</v>
      </c>
      <c r="CX45" s="46">
        <f t="shared" si="68"/>
        <v>87755.654480745608</v>
      </c>
      <c r="CY45" s="46">
        <f t="shared" si="68"/>
        <v>89510.76757036052</v>
      </c>
      <c r="CZ45" s="46">
        <f t="shared" si="68"/>
        <v>91300.982921767732</v>
      </c>
      <c r="DA45" s="46">
        <f t="shared" si="68"/>
        <v>93127.002580203087</v>
      </c>
      <c r="DB45" s="46">
        <f t="shared" si="68"/>
        <v>94989.542631807155</v>
      </c>
      <c r="DC45" s="46">
        <f t="shared" si="68"/>
        <v>96889.333484443297</v>
      </c>
      <c r="DD45" s="46">
        <f t="shared" si="68"/>
        <v>98827.120154132164</v>
      </c>
      <c r="DE45" s="46">
        <f t="shared" si="68"/>
        <v>100803.6625572148</v>
      </c>
      <c r="DF45" s="46">
        <f t="shared" si="68"/>
        <v>102819.7358083591</v>
      </c>
      <c r="DG45" s="46">
        <f t="shared" si="68"/>
        <v>104876.13052452628</v>
      </c>
      <c r="DH45" s="46">
        <f t="shared" si="68"/>
        <v>106973.65313501681</v>
      </c>
      <c r="DI45" s="46">
        <f t="shared" si="68"/>
        <v>109113.12619771715</v>
      </c>
      <c r="DJ45" s="46">
        <f t="shared" si="68"/>
        <v>111295.38872167149</v>
      </c>
      <c r="DK45" s="46">
        <f t="shared" si="68"/>
        <v>113521.29649610493</v>
      </c>
      <c r="DL45" s="46">
        <f t="shared" si="68"/>
        <v>115791.72242602703</v>
      </c>
      <c r="DM45" s="46">
        <f t="shared" si="68"/>
        <v>118107.55687454758</v>
      </c>
      <c r="DN45" s="46">
        <f t="shared" si="68"/>
        <v>120469.70801203854</v>
      </c>
      <c r="DO45" s="46">
        <f t="shared" si="68"/>
        <v>122879.10217227931</v>
      </c>
      <c r="DP45" s="46">
        <f t="shared" si="68"/>
        <v>125336.68421572489</v>
      </c>
      <c r="DQ45" s="46">
        <f t="shared" si="68"/>
        <v>127843.41790003939</v>
      </c>
      <c r="DR45" s="46">
        <f t="shared" ref="DR45:EK45" si="69">DQ45*(1+$DC$49)</f>
        <v>130400.28625804019</v>
      </c>
      <c r="DS45" s="46">
        <f t="shared" si="69"/>
        <v>133008.29198320099</v>
      </c>
      <c r="DT45" s="46">
        <f t="shared" si="69"/>
        <v>135668.45782286502</v>
      </c>
      <c r="DU45" s="46">
        <f t="shared" si="69"/>
        <v>138381.82697932233</v>
      </c>
      <c r="DV45" s="46">
        <f t="shared" si="69"/>
        <v>141149.46351890877</v>
      </c>
      <c r="DW45" s="46">
        <f t="shared" si="69"/>
        <v>143972.45278928694</v>
      </c>
      <c r="DX45" s="46">
        <f t="shared" si="69"/>
        <v>146851.90184507269</v>
      </c>
      <c r="DY45" s="46">
        <f t="shared" si="69"/>
        <v>149788.93988197413</v>
      </c>
      <c r="DZ45" s="46">
        <f t="shared" si="69"/>
        <v>152784.71867961361</v>
      </c>
      <c r="EA45" s="46">
        <f t="shared" si="69"/>
        <v>155840.41305320588</v>
      </c>
      <c r="EB45" s="46">
        <f t="shared" si="69"/>
        <v>158957.22131426999</v>
      </c>
      <c r="EC45" s="46">
        <f t="shared" si="69"/>
        <v>162136.3657405554</v>
      </c>
      <c r="ED45" s="46">
        <f t="shared" si="69"/>
        <v>165379.09305536651</v>
      </c>
      <c r="EE45" s="46">
        <f t="shared" si="69"/>
        <v>168686.67491647383</v>
      </c>
      <c r="EF45" s="46">
        <f t="shared" si="69"/>
        <v>172060.4084148033</v>
      </c>
      <c r="EG45" s="46">
        <f t="shared" si="69"/>
        <v>175501.61658309936</v>
      </c>
      <c r="EH45" s="46">
        <f t="shared" si="69"/>
        <v>179011.64891476135</v>
      </c>
      <c r="EI45" s="46">
        <f t="shared" si="69"/>
        <v>182591.88189305659</v>
      </c>
      <c r="EJ45" s="46">
        <f t="shared" si="69"/>
        <v>186243.71953091773</v>
      </c>
      <c r="EK45" s="46">
        <f t="shared" si="69"/>
        <v>189968.59392153608</v>
      </c>
    </row>
    <row r="46" spans="1:141" s="12" customFormat="1" ht="13" customHeight="1">
      <c r="A46" s="8"/>
      <c r="B46" s="9" t="s">
        <v>142</v>
      </c>
      <c r="C46" s="11">
        <f t="shared" ref="C46:J46" si="70">C45/C47</f>
        <v>3.4807600191601473</v>
      </c>
      <c r="D46" s="11">
        <f t="shared" si="70"/>
        <v>3.994503718073068</v>
      </c>
      <c r="E46" s="11">
        <f t="shared" si="70"/>
        <v>4.3359375</v>
      </c>
      <c r="F46" s="11">
        <f t="shared" si="70"/>
        <v>3.7923177083333335</v>
      </c>
      <c r="G46" s="11">
        <f t="shared" si="70"/>
        <v>4.4050922147870084</v>
      </c>
      <c r="H46" s="11">
        <f t="shared" si="70"/>
        <v>4.9202171409771349</v>
      </c>
      <c r="I46" s="11">
        <f t="shared" si="70"/>
        <v>4.5809777186564684</v>
      </c>
      <c r="J46" s="11">
        <f t="shared" si="70"/>
        <v>3.9028897849462361</v>
      </c>
      <c r="K46" s="11">
        <f>K45/K47</f>
        <v>5.6053962900505905</v>
      </c>
      <c r="L46" s="11">
        <f>L45/L47</f>
        <v>6.0247919850568863</v>
      </c>
      <c r="M46" s="11">
        <f>M45/M47</f>
        <v>6.156620298815044</v>
      </c>
      <c r="N46" s="11">
        <f>N45/N47</f>
        <v>6.2064080944350772</v>
      </c>
      <c r="O46" s="11">
        <f>O45/O47</f>
        <v>7.1256123163051086</v>
      </c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>
        <f>AB45/AB47</f>
        <v>2.6522563519150548</v>
      </c>
      <c r="AC46" s="11"/>
      <c r="AD46" s="11"/>
      <c r="AE46" s="11"/>
      <c r="AF46" s="11"/>
      <c r="AG46" s="11"/>
      <c r="AH46" s="11"/>
      <c r="AI46" s="11"/>
      <c r="AJ46" s="11"/>
      <c r="AK46" s="11"/>
      <c r="AL46" s="11"/>
      <c r="AM46" s="11"/>
      <c r="AN46" s="11"/>
      <c r="AO46" s="11"/>
      <c r="AP46" s="11"/>
      <c r="AQ46" s="11"/>
      <c r="AR46" s="11"/>
      <c r="AS46" s="11"/>
      <c r="AT46" s="11"/>
      <c r="AU46" s="11"/>
      <c r="AV46" s="11"/>
      <c r="AW46" s="11"/>
      <c r="AX46" s="11">
        <f t="shared" ref="AX46:BB46" si="71">AX45/AX47</f>
        <v>3.6884864384547029</v>
      </c>
      <c r="AY46" s="11">
        <f t="shared" si="71"/>
        <v>5.0522337353490743</v>
      </c>
      <c r="AZ46" s="11">
        <f t="shared" si="71"/>
        <v>4.5311100686596442</v>
      </c>
      <c r="BA46" s="11">
        <f t="shared" si="71"/>
        <v>4.4100895036615135</v>
      </c>
      <c r="BB46" s="11">
        <f t="shared" si="71"/>
        <v>4.0075695669003482</v>
      </c>
      <c r="BC46" s="11">
        <f>BC45/BC47</f>
        <v>5.451286923475557</v>
      </c>
      <c r="BD46" s="11">
        <f>BD45/BD47</f>
        <v>5.256471404413996</v>
      </c>
      <c r="BE46" s="11">
        <f t="shared" ref="BE46:BG46" si="72">BE45/BE47</f>
        <v>5.2753232055021106</v>
      </c>
      <c r="BF46" s="11">
        <f t="shared" si="72"/>
        <v>4.7550860036671621</v>
      </c>
      <c r="BG46" s="11">
        <f t="shared" si="72"/>
        <v>3.1117242587483025</v>
      </c>
      <c r="BH46" s="11">
        <f>BH45/BH47</f>
        <v>2.9256183823206361</v>
      </c>
      <c r="BI46" s="11">
        <f t="shared" ref="BI46:BO46" si="73">BI45/BI47</f>
        <v>3.1750055102490631</v>
      </c>
      <c r="BJ46" s="11">
        <f t="shared" si="73"/>
        <v>3.0052180065446183</v>
      </c>
      <c r="BK46" s="11">
        <f t="shared" si="73"/>
        <v>4.3902330940352741</v>
      </c>
      <c r="BL46" s="11">
        <f t="shared" si="73"/>
        <v>4.3148403144849636</v>
      </c>
      <c r="BM46" s="11">
        <f t="shared" si="73"/>
        <v>5.0073513031855645</v>
      </c>
      <c r="BN46" s="11">
        <f t="shared" si="73"/>
        <v>4.905302184303391</v>
      </c>
      <c r="BO46" s="11">
        <f t="shared" si="73"/>
        <v>5.6832569063863101</v>
      </c>
      <c r="BP46" s="11"/>
      <c r="BQ46" s="11"/>
      <c r="BR46" s="11"/>
      <c r="BS46" s="10"/>
      <c r="BT46" s="44">
        <v>371</v>
      </c>
      <c r="BU46" s="44">
        <v>357.89800000000002</v>
      </c>
      <c r="BV46" s="44">
        <v>349.28684602210484</v>
      </c>
      <c r="BW46" s="44">
        <v>346.42023101831342</v>
      </c>
      <c r="BX46" s="44">
        <v>347.35046394141801</v>
      </c>
      <c r="BY46" s="44"/>
      <c r="BZ46" s="44"/>
      <c r="CA46" s="10"/>
      <c r="CB46" s="10"/>
      <c r="CC46" s="10"/>
      <c r="CD46" s="10"/>
      <c r="CE46" s="10"/>
      <c r="CF46" s="11">
        <f t="shared" ref="CF46:CH46" si="74">CF45/CF47</f>
        <v>24.600453988798879</v>
      </c>
      <c r="CG46" s="11">
        <f t="shared" si="74"/>
        <v>29.987792300730359</v>
      </c>
      <c r="CH46" s="11">
        <f t="shared" si="74"/>
        <v>38.849452931835813</v>
      </c>
      <c r="CI46" s="11"/>
      <c r="CJ46" s="11"/>
      <c r="CK46" s="11"/>
      <c r="CS46" s="68">
        <f>+CS45/CS47</f>
        <v>17.680372813115195</v>
      </c>
    </row>
    <row r="47" spans="1:141" ht="13" customHeight="1">
      <c r="B47" s="47" t="s">
        <v>11</v>
      </c>
      <c r="C47" s="44">
        <v>626.29999999999995</v>
      </c>
      <c r="D47" s="44">
        <v>618.6</v>
      </c>
      <c r="E47" s="44">
        <v>614.4</v>
      </c>
      <c r="F47" s="44">
        <v>614.4</v>
      </c>
      <c r="G47" s="44">
        <v>612.70000000000005</v>
      </c>
      <c r="H47" s="44">
        <v>607.9</v>
      </c>
      <c r="I47" s="44">
        <v>601.4</v>
      </c>
      <c r="J47" s="44">
        <v>595.20000000000005</v>
      </c>
      <c r="K47" s="44">
        <v>593</v>
      </c>
      <c r="L47" s="44">
        <v>588.9</v>
      </c>
      <c r="M47" s="44">
        <v>582.29999999999995</v>
      </c>
      <c r="N47" s="44">
        <v>593</v>
      </c>
      <c r="O47" s="44">
        <v>571.6</v>
      </c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  <c r="AA47" s="44"/>
      <c r="AB47" s="44">
        <v>2637</v>
      </c>
      <c r="AC47" s="44"/>
      <c r="AD47" s="44"/>
      <c r="AE47" s="44"/>
      <c r="AF47" s="44"/>
      <c r="AG47" s="44"/>
      <c r="AH47" s="44"/>
      <c r="AI47" s="44"/>
      <c r="AJ47" s="44"/>
      <c r="AK47" s="44"/>
      <c r="AL47" s="44"/>
      <c r="AM47" s="44"/>
      <c r="AN47" s="44"/>
      <c r="AO47" s="44"/>
      <c r="AP47" s="44"/>
      <c r="AQ47" s="44"/>
      <c r="AR47" s="44"/>
      <c r="AS47" s="44"/>
      <c r="AT47" s="44"/>
      <c r="AU47" s="44"/>
      <c r="AV47" s="44"/>
      <c r="AW47" s="44"/>
      <c r="AX47" s="44">
        <v>2363.3000000000002</v>
      </c>
      <c r="AY47" s="44">
        <v>2354.8000000000002</v>
      </c>
      <c r="AZ47" s="44">
        <v>2344.9</v>
      </c>
      <c r="BA47" s="44">
        <v>2335.1</v>
      </c>
      <c r="BB47" s="44">
        <v>2325.1</v>
      </c>
      <c r="BC47" s="44">
        <v>2315.6</v>
      </c>
      <c r="BD47" s="44">
        <v>2306.3000000000002</v>
      </c>
      <c r="BE47" s="44">
        <v>2297.3000000000002</v>
      </c>
      <c r="BF47" s="44">
        <v>2290.6</v>
      </c>
      <c r="BG47" s="44">
        <v>4566.6000000000004</v>
      </c>
      <c r="BH47" s="44">
        <v>4552.2</v>
      </c>
      <c r="BI47" s="44">
        <v>4537</v>
      </c>
      <c r="BJ47" s="44">
        <v>4522.8</v>
      </c>
      <c r="BK47" s="44">
        <v>4513.2</v>
      </c>
      <c r="BL47" s="44">
        <v>4502.6000000000004</v>
      </c>
      <c r="BM47" s="44">
        <v>4489</v>
      </c>
      <c r="BN47" s="44">
        <v>4477.3999999999996</v>
      </c>
      <c r="BO47" s="44">
        <v>4470.5</v>
      </c>
      <c r="BP47" s="44"/>
      <c r="BQ47" s="44"/>
      <c r="BR47" s="44"/>
      <c r="BS47" s="48"/>
      <c r="BT47" s="44">
        <f>BT44</f>
        <v>2016</v>
      </c>
      <c r="BU47" s="44">
        <f t="shared" ref="BU47:BZ47" si="75">BU44</f>
        <v>2001</v>
      </c>
      <c r="BV47" s="44">
        <f t="shared" si="75"/>
        <v>3154</v>
      </c>
      <c r="BW47" s="44">
        <f t="shared" si="75"/>
        <v>3620</v>
      </c>
      <c r="BX47" s="44">
        <f t="shared" si="75"/>
        <v>4116</v>
      </c>
      <c r="BY47" s="44">
        <f t="shared" si="75"/>
        <v>954</v>
      </c>
      <c r="BZ47" s="44">
        <f t="shared" si="75"/>
        <v>477</v>
      </c>
      <c r="CA47" s="44"/>
      <c r="CB47" s="44"/>
      <c r="CC47" s="44"/>
      <c r="CD47" s="44"/>
      <c r="CE47" s="44"/>
      <c r="CF47" s="44">
        <v>585.47699999999998</v>
      </c>
      <c r="CG47" s="44">
        <v>570.13199999999995</v>
      </c>
      <c r="CH47" s="44">
        <v>551.66800000000001</v>
      </c>
      <c r="CI47" s="44"/>
      <c r="CJ47" s="44">
        <v>2630.2179999999998</v>
      </c>
      <c r="CK47" s="44">
        <v>2577.6979999999999</v>
      </c>
      <c r="CL47" s="46">
        <v>2534.7289999999998</v>
      </c>
      <c r="CO47" s="40"/>
      <c r="CP47" s="40"/>
      <c r="CQ47" s="40"/>
      <c r="CR47" s="40"/>
      <c r="CS47" s="46">
        <f>AVERAGE(BK47:BN47)</f>
        <v>4495.5499999999993</v>
      </c>
      <c r="CT47" s="40"/>
      <c r="CU47" s="40"/>
      <c r="CV47" s="40"/>
      <c r="CW47" s="40"/>
      <c r="CX47" s="40"/>
      <c r="CY47" s="40"/>
      <c r="CZ47" s="40"/>
      <c r="DA47" s="40"/>
      <c r="DB47" s="40"/>
      <c r="DC47" s="40"/>
      <c r="DD47" s="40"/>
      <c r="DE47" s="40"/>
      <c r="DF47" s="40"/>
      <c r="DG47" s="40"/>
      <c r="DH47" s="40"/>
      <c r="DI47" s="40"/>
      <c r="DJ47" s="40"/>
      <c r="DK47" s="40"/>
      <c r="DL47" s="40"/>
      <c r="DM47" s="40"/>
      <c r="DN47" s="40"/>
      <c r="DO47" s="40"/>
      <c r="DP47" s="40"/>
      <c r="DQ47" s="40"/>
      <c r="DR47" s="40"/>
      <c r="DS47" s="40"/>
      <c r="DT47" s="40"/>
      <c r="DU47" s="40"/>
      <c r="DV47" s="40"/>
      <c r="DW47" s="40"/>
      <c r="DX47" s="40"/>
      <c r="DY47" s="40"/>
      <c r="DZ47" s="40"/>
      <c r="EA47" s="40"/>
      <c r="EB47" s="40"/>
      <c r="EC47" s="40"/>
      <c r="ED47" s="40"/>
      <c r="EE47" s="40"/>
      <c r="EF47" s="40"/>
      <c r="EG47" s="40"/>
      <c r="EH47" s="40"/>
      <c r="EI47" s="40"/>
      <c r="EJ47" s="40"/>
      <c r="EK47" s="40"/>
    </row>
    <row r="48" spans="1:141" s="5" customFormat="1" ht="13" customHeight="1">
      <c r="B48" s="47"/>
      <c r="C48" s="51"/>
      <c r="D48" s="51"/>
      <c r="E48" s="51"/>
      <c r="F48" s="51"/>
      <c r="G48" s="51"/>
      <c r="H48" s="51"/>
      <c r="I48" s="51"/>
      <c r="J48" s="51"/>
      <c r="K48" s="51"/>
      <c r="L48" s="51"/>
      <c r="M48" s="51"/>
      <c r="N48" s="51"/>
      <c r="O48" s="51"/>
      <c r="P48" s="51"/>
      <c r="Q48" s="51"/>
      <c r="R48" s="51"/>
      <c r="S48" s="51"/>
      <c r="T48" s="51"/>
      <c r="U48" s="51"/>
      <c r="V48" s="51"/>
      <c r="W48" s="51"/>
      <c r="X48" s="51"/>
      <c r="Y48" s="51"/>
      <c r="Z48" s="51"/>
      <c r="AA48" s="51"/>
      <c r="AB48" s="51"/>
      <c r="AC48" s="51"/>
      <c r="AD48" s="51"/>
      <c r="AE48" s="51"/>
      <c r="AF48" s="51"/>
      <c r="AG48" s="51"/>
      <c r="AH48" s="51"/>
      <c r="AI48" s="51"/>
      <c r="AJ48" s="51"/>
      <c r="AK48" s="51"/>
      <c r="AL48" s="51"/>
      <c r="AM48" s="51"/>
      <c r="AN48" s="51"/>
      <c r="AO48" s="51"/>
      <c r="AP48" s="51"/>
      <c r="AQ48" s="51"/>
      <c r="AR48" s="51"/>
      <c r="AS48" s="51"/>
      <c r="AT48" s="51"/>
      <c r="AU48" s="51"/>
      <c r="AV48" s="51"/>
      <c r="AW48" s="51"/>
      <c r="AX48" s="51"/>
      <c r="AY48" s="51"/>
      <c r="AZ48" s="51"/>
      <c r="BA48" s="51"/>
      <c r="BB48" s="51"/>
      <c r="BC48" s="51"/>
      <c r="BD48" s="51"/>
      <c r="BE48" s="51"/>
      <c r="BF48" s="51"/>
      <c r="BG48" s="51"/>
      <c r="BH48" s="51"/>
      <c r="BI48" s="51"/>
      <c r="BJ48" s="51"/>
      <c r="BK48" s="51"/>
      <c r="BL48" s="51"/>
      <c r="BM48" s="51"/>
      <c r="BN48" s="51"/>
      <c r="BO48" s="51"/>
      <c r="BP48" s="51"/>
      <c r="BQ48" s="51"/>
      <c r="BR48" s="51"/>
      <c r="BS48" s="51"/>
      <c r="BT48" s="51"/>
      <c r="BU48" s="51"/>
      <c r="BV48" s="51"/>
      <c r="BW48" s="51"/>
      <c r="BX48" s="51"/>
      <c r="BY48" s="51"/>
      <c r="BZ48" s="51"/>
      <c r="CA48" s="51"/>
      <c r="CB48" s="51"/>
      <c r="CC48" s="51"/>
      <c r="CD48" s="51"/>
      <c r="CE48" s="51"/>
      <c r="CF48" s="51"/>
      <c r="CG48" s="51"/>
      <c r="CH48" s="51"/>
      <c r="CI48" s="51"/>
      <c r="CJ48" s="51"/>
      <c r="CK48" s="51"/>
      <c r="CL48" s="41"/>
      <c r="CO48" s="41"/>
      <c r="CP48" s="41"/>
      <c r="CQ48" s="41"/>
      <c r="CR48" s="41"/>
      <c r="CS48" s="41"/>
      <c r="CT48" s="41"/>
      <c r="CU48" s="41"/>
      <c r="CV48" s="41"/>
      <c r="CW48" s="41"/>
      <c r="CX48" s="41"/>
      <c r="CY48" s="41"/>
      <c r="CZ48" s="41"/>
      <c r="DA48" s="41"/>
      <c r="DD48" s="41"/>
      <c r="DE48" s="41"/>
      <c r="DF48" s="41"/>
      <c r="DG48" s="41"/>
      <c r="DH48" s="41"/>
      <c r="DI48" s="41"/>
      <c r="DJ48" s="41"/>
      <c r="DK48" s="41"/>
      <c r="DL48" s="41"/>
      <c r="DM48" s="41"/>
      <c r="DN48" s="41"/>
      <c r="DO48" s="41"/>
      <c r="DP48" s="41"/>
      <c r="DQ48" s="41"/>
      <c r="DR48" s="41"/>
      <c r="DS48" s="41"/>
      <c r="DT48" s="41"/>
      <c r="DU48" s="41"/>
      <c r="DV48" s="41"/>
      <c r="DW48" s="41"/>
      <c r="DX48" s="41"/>
      <c r="DY48" s="41"/>
      <c r="DZ48" s="41"/>
      <c r="EA48" s="41"/>
      <c r="EB48" s="41"/>
      <c r="EC48" s="41"/>
      <c r="ED48" s="41"/>
      <c r="EE48" s="41"/>
      <c r="EF48" s="41"/>
      <c r="EG48" s="41"/>
      <c r="EH48" s="41"/>
      <c r="EI48" s="41"/>
      <c r="EJ48" s="41"/>
      <c r="EK48" s="41"/>
    </row>
    <row r="49" spans="2:141" ht="13" customHeight="1">
      <c r="B49" s="47" t="s">
        <v>146</v>
      </c>
      <c r="C49" s="53"/>
      <c r="D49" s="53"/>
      <c r="E49" s="53"/>
      <c r="F49" s="53"/>
      <c r="G49" s="54">
        <f t="shared" ref="G49:O49" si="76">G31/C31-1</f>
        <v>0.17750141322781232</v>
      </c>
      <c r="H49" s="54">
        <f t="shared" si="76"/>
        <v>0.17020702070207028</v>
      </c>
      <c r="I49" s="54">
        <f t="shared" si="76"/>
        <v>0.11550773608394094</v>
      </c>
      <c r="J49" s="54">
        <f t="shared" si="76"/>
        <v>4.2756099499324574E-2</v>
      </c>
      <c r="K49" s="54">
        <f t="shared" si="76"/>
        <v>9.4095055208833323E-2</v>
      </c>
      <c r="L49" s="54">
        <f t="shared" si="76"/>
        <v>0.18406276440273817</v>
      </c>
      <c r="M49" s="54">
        <f t="shared" si="76"/>
        <v>0.24224790753288161</v>
      </c>
      <c r="N49" s="54">
        <f t="shared" si="76"/>
        <v>0.22886975078119054</v>
      </c>
      <c r="O49" s="54">
        <f t="shared" si="76"/>
        <v>0.14765247915752533</v>
      </c>
      <c r="P49" s="54"/>
      <c r="Q49" s="54"/>
      <c r="R49" s="54"/>
      <c r="S49" s="54"/>
      <c r="T49" s="54"/>
      <c r="U49" s="54"/>
      <c r="V49" s="54"/>
      <c r="W49" s="54"/>
      <c r="X49" s="54"/>
      <c r="Y49" s="54"/>
      <c r="Z49" s="54"/>
      <c r="AA49" s="54"/>
      <c r="AB49" s="54"/>
      <c r="AC49" s="54"/>
      <c r="AD49" s="54"/>
      <c r="AE49" s="54"/>
      <c r="AF49" s="54"/>
      <c r="AG49" s="54"/>
      <c r="AH49" s="54"/>
      <c r="AI49" s="54"/>
      <c r="AJ49" s="54"/>
      <c r="AK49" s="54"/>
      <c r="AL49" s="54"/>
      <c r="AM49" s="54"/>
      <c r="AN49" s="54"/>
      <c r="AO49" s="54"/>
      <c r="AP49" s="54"/>
      <c r="AQ49" s="54"/>
      <c r="AR49" s="54"/>
      <c r="AS49" s="54"/>
      <c r="AT49" s="54"/>
      <c r="AU49" s="54"/>
      <c r="AV49" s="54"/>
      <c r="AW49" s="54"/>
      <c r="AX49" s="54"/>
      <c r="AY49" s="54"/>
      <c r="AZ49" s="54"/>
      <c r="BA49" s="54">
        <f t="shared" ref="BA49:BH49" si="77">BA31/AW31-1</f>
        <v>2.1468441391155002E-2</v>
      </c>
      <c r="BB49" s="54">
        <f t="shared" si="77"/>
        <v>-8.6065953049325739E-3</v>
      </c>
      <c r="BC49" s="54">
        <f t="shared" si="77"/>
        <v>-2.0959409594095701E-3</v>
      </c>
      <c r="BD49" s="54">
        <f t="shared" si="77"/>
        <v>0.10114643737919082</v>
      </c>
      <c r="BE49" s="54">
        <f t="shared" si="77"/>
        <v>0.15180909884566884</v>
      </c>
      <c r="BF49" s="54">
        <f t="shared" si="77"/>
        <v>0.19276246188312895</v>
      </c>
      <c r="BG49" s="54">
        <f t="shared" si="77"/>
        <v>0.24337356525854936</v>
      </c>
      <c r="BH49" s="54">
        <f t="shared" si="77"/>
        <v>0.24890287824218404</v>
      </c>
      <c r="BI49" s="54">
        <f t="shared" ref="BI49:BJ49" si="78">BI31/BE31-1</f>
        <v>0.27915333221043181</v>
      </c>
      <c r="BJ49" s="54">
        <f t="shared" si="78"/>
        <v>0.2545848224767171</v>
      </c>
      <c r="BK49" s="54">
        <f>BK31/BG31-1</f>
        <v>0.26970569341676387</v>
      </c>
      <c r="BL49" s="54">
        <f>BL31/BH31-1</f>
        <v>0.31588513267902574</v>
      </c>
      <c r="BM49" s="54">
        <f>BM31/BI31-1</f>
        <v>0.28892156432427685</v>
      </c>
      <c r="BN49" s="54">
        <f>BN31/BJ31-1</f>
        <v>0.36952091824003985</v>
      </c>
      <c r="BO49" s="54">
        <f>BO31/BK31-1</f>
        <v>0.22452077126314007</v>
      </c>
      <c r="BP49" s="54"/>
      <c r="BQ49" s="54"/>
      <c r="BR49" s="54"/>
      <c r="BS49" s="53"/>
      <c r="BT49" s="53"/>
      <c r="BU49" s="55">
        <f>BU31/BT31-1</f>
        <v>0.20341466989081858</v>
      </c>
      <c r="BV49" s="55">
        <f>BV31/BU31-1</f>
        <v>0.24733605309626738</v>
      </c>
      <c r="BW49" s="55">
        <f>BW31/BV31-1</f>
        <v>0.14156700024408098</v>
      </c>
      <c r="BX49" s="55">
        <f>BX31/BW31-1</f>
        <v>6.333119521060504E-2</v>
      </c>
      <c r="BY49" s="55">
        <f>BY31/BX31-1</f>
        <v>-1</v>
      </c>
      <c r="BZ49" s="55"/>
      <c r="CA49" s="55"/>
      <c r="CB49" s="55"/>
      <c r="CC49" s="55"/>
      <c r="CD49" s="55"/>
      <c r="CE49" s="55"/>
      <c r="CF49" s="55">
        <f t="shared" ref="CF49:CS50" si="79">CF31/CE31-1</f>
        <v>0.18784325222319942</v>
      </c>
      <c r="CG49" s="55">
        <f t="shared" si="79"/>
        <v>9.164801895485053E-2</v>
      </c>
      <c r="CH49" s="55">
        <f t="shared" si="79"/>
        <v>0.17604678503602322</v>
      </c>
      <c r="CI49" s="55">
        <f t="shared" si="79"/>
        <v>7.1078871145515699E-2</v>
      </c>
      <c r="CJ49" s="55">
        <f t="shared" si="79"/>
        <v>6.262863159910026E-2</v>
      </c>
      <c r="CK49" s="55">
        <f t="shared" si="79"/>
        <v>0.21531202846654507</v>
      </c>
      <c r="CL49" s="55">
        <f t="shared" si="79"/>
        <v>3.5700056519684553E-2</v>
      </c>
      <c r="CM49" s="55">
        <f t="shared" si="79"/>
        <v>-7.5147611379500212E-4</v>
      </c>
      <c r="CN49" s="55">
        <f t="shared" si="79"/>
        <v>1.208637730984119E-3</v>
      </c>
      <c r="CO49" s="55">
        <f t="shared" si="79"/>
        <v>9.1119635879139071E-2</v>
      </c>
      <c r="CP49" s="55">
        <f t="shared" si="79"/>
        <v>4.0361904918005953E-2</v>
      </c>
      <c r="CQ49" s="55">
        <f t="shared" si="79"/>
        <v>0.10913301718841084</v>
      </c>
      <c r="CR49" s="55">
        <f t="shared" si="79"/>
        <v>0.25677556818181824</v>
      </c>
      <c r="CS49" s="55">
        <f t="shared" si="79"/>
        <v>0.31255015427738275</v>
      </c>
      <c r="CT49" s="55"/>
      <c r="CU49" s="55"/>
      <c r="CV49" s="55"/>
      <c r="CW49" s="55"/>
      <c r="CX49" s="55"/>
      <c r="CY49" s="55"/>
      <c r="CZ49" s="55"/>
      <c r="DA49" s="40"/>
      <c r="DB49" s="49" t="s">
        <v>143</v>
      </c>
      <c r="DC49" s="50">
        <v>0.02</v>
      </c>
      <c r="DD49" s="40"/>
      <c r="DE49" s="40"/>
      <c r="DF49" s="40"/>
      <c r="DG49" s="40"/>
      <c r="DH49" s="40"/>
      <c r="DI49" s="40"/>
      <c r="DJ49" s="40"/>
      <c r="DK49" s="40"/>
      <c r="DL49" s="40"/>
      <c r="DM49" s="40"/>
      <c r="DN49" s="40"/>
      <c r="DO49" s="40"/>
      <c r="DP49" s="40"/>
      <c r="DQ49" s="40"/>
      <c r="DR49" s="40"/>
      <c r="DS49" s="40"/>
      <c r="DT49" s="40"/>
      <c r="DU49" s="40"/>
      <c r="DV49" s="40"/>
      <c r="DW49" s="40"/>
      <c r="DX49" s="40"/>
      <c r="DY49" s="40"/>
      <c r="DZ49" s="40"/>
      <c r="EA49" s="40"/>
      <c r="EB49" s="40"/>
      <c r="EC49" s="40"/>
      <c r="ED49" s="40"/>
      <c r="EE49" s="40"/>
      <c r="EF49" s="40"/>
      <c r="EG49" s="40"/>
      <c r="EH49" s="40"/>
      <c r="EI49" s="40"/>
      <c r="EJ49" s="40"/>
      <c r="EK49" s="40"/>
    </row>
    <row r="50" spans="2:141" ht="13" customHeight="1">
      <c r="B50" s="47" t="s">
        <v>147</v>
      </c>
      <c r="C50" s="53"/>
      <c r="D50" s="53"/>
      <c r="E50" s="53"/>
      <c r="F50" s="53"/>
      <c r="G50" s="54"/>
      <c r="H50" s="54"/>
      <c r="I50" s="54"/>
      <c r="J50" s="54"/>
      <c r="K50" s="54">
        <v>0.11</v>
      </c>
      <c r="L50" s="54"/>
      <c r="M50" s="54"/>
      <c r="N50" s="54"/>
      <c r="O50" s="54"/>
      <c r="P50" s="54"/>
      <c r="Q50" s="54"/>
      <c r="R50" s="54"/>
      <c r="S50" s="54"/>
      <c r="T50" s="54"/>
      <c r="U50" s="54"/>
      <c r="V50" s="54"/>
      <c r="W50" s="54"/>
      <c r="X50" s="54"/>
      <c r="Y50" s="54"/>
      <c r="Z50" s="54"/>
      <c r="AA50" s="54"/>
      <c r="AB50" s="54"/>
      <c r="AC50" s="54"/>
      <c r="AD50" s="54"/>
      <c r="AE50" s="54"/>
      <c r="AF50" s="54"/>
      <c r="AG50" s="54"/>
      <c r="AH50" s="54"/>
      <c r="AI50" s="54"/>
      <c r="AJ50" s="54"/>
      <c r="AK50" s="54"/>
      <c r="AL50" s="54"/>
      <c r="AM50" s="54"/>
      <c r="AN50" s="54"/>
      <c r="AO50" s="54"/>
      <c r="AP50" s="54"/>
      <c r="AQ50" s="54"/>
      <c r="AR50" s="54"/>
      <c r="AS50" s="54"/>
      <c r="AT50" s="54"/>
      <c r="AU50" s="54"/>
      <c r="AV50" s="54"/>
      <c r="AW50" s="54"/>
      <c r="AX50" s="54"/>
      <c r="AY50" s="54"/>
      <c r="AZ50" s="54"/>
      <c r="BA50" s="54"/>
      <c r="BB50" s="54"/>
      <c r="BC50" s="54"/>
      <c r="BD50" s="54"/>
      <c r="BE50" s="54"/>
      <c r="BF50" s="54"/>
      <c r="BG50" s="54"/>
      <c r="BH50" s="54"/>
      <c r="BI50" s="54"/>
      <c r="BJ50" s="54"/>
      <c r="BK50" s="54"/>
      <c r="BL50" s="54"/>
      <c r="BM50" s="54"/>
      <c r="BN50" s="55">
        <v>0.43</v>
      </c>
      <c r="BO50" s="55">
        <v>0.24</v>
      </c>
      <c r="BP50" s="54"/>
      <c r="BQ50" s="54"/>
      <c r="BR50" s="54"/>
      <c r="BS50" s="53"/>
      <c r="BT50" s="53"/>
      <c r="BU50" s="55"/>
      <c r="BV50" s="55"/>
      <c r="BW50" s="55"/>
      <c r="BX50" s="55"/>
      <c r="BY50" s="55"/>
      <c r="BZ50" s="55"/>
      <c r="CA50" s="55"/>
      <c r="CB50" s="55"/>
      <c r="CC50" s="55"/>
      <c r="CD50" s="55"/>
      <c r="CE50" s="55"/>
      <c r="CF50" s="55" t="s">
        <v>148</v>
      </c>
      <c r="CG50" s="55"/>
      <c r="CH50" s="55"/>
      <c r="CI50" s="55"/>
      <c r="CJ50" s="55"/>
      <c r="CK50" s="55"/>
      <c r="CL50" s="40"/>
      <c r="CM50" s="40"/>
      <c r="CN50" s="37"/>
      <c r="CO50" s="40"/>
      <c r="CP50" s="40"/>
      <c r="CQ50" s="40"/>
      <c r="CR50" s="40"/>
      <c r="CS50" s="55">
        <v>0.36</v>
      </c>
      <c r="CT50" s="40"/>
      <c r="CU50" s="40"/>
      <c r="CV50" s="40"/>
      <c r="CW50" s="40"/>
      <c r="CX50" s="40"/>
      <c r="CY50" s="40"/>
      <c r="CZ50" s="40"/>
      <c r="DA50" s="40"/>
      <c r="DB50" s="49" t="s">
        <v>144</v>
      </c>
      <c r="DC50" s="50">
        <v>0.1</v>
      </c>
      <c r="DD50" s="40"/>
      <c r="DE50" s="40"/>
      <c r="DF50" s="40"/>
      <c r="DG50" s="40"/>
      <c r="DH50" s="40"/>
      <c r="DI50" s="40"/>
      <c r="DJ50" s="40"/>
      <c r="DK50" s="40"/>
      <c r="DL50" s="40"/>
      <c r="DM50" s="40"/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</row>
    <row r="51" spans="2:141" ht="13" customHeight="1">
      <c r="B51" s="47" t="s">
        <v>188</v>
      </c>
      <c r="C51" s="53"/>
      <c r="D51" s="53"/>
      <c r="E51" s="53"/>
      <c r="F51" s="53"/>
      <c r="G51" s="54"/>
      <c r="H51" s="54"/>
      <c r="I51" s="54"/>
      <c r="J51" s="54"/>
      <c r="K51" s="54"/>
      <c r="L51" s="54"/>
      <c r="M51" s="54"/>
      <c r="N51" s="54"/>
      <c r="O51" s="54"/>
      <c r="P51" s="54"/>
      <c r="Q51" s="54"/>
      <c r="R51" s="54"/>
      <c r="S51" s="54"/>
      <c r="T51" s="54"/>
      <c r="U51" s="54"/>
      <c r="V51" s="54"/>
      <c r="W51" s="54"/>
      <c r="X51" s="54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  <c r="AP51" s="54"/>
      <c r="AQ51" s="54"/>
      <c r="AR51" s="54"/>
      <c r="AS51" s="54"/>
      <c r="AT51" s="54"/>
      <c r="AU51" s="54"/>
      <c r="AV51" s="54"/>
      <c r="AW51" s="54"/>
      <c r="AX51" s="54"/>
      <c r="AY51" s="54"/>
      <c r="AZ51" s="54"/>
      <c r="BA51" s="55">
        <f t="shared" ref="BA51:BH51" si="80">BA16/AW16-1</f>
        <v>0.73991031390134521</v>
      </c>
      <c r="BB51" s="55">
        <f t="shared" si="80"/>
        <v>0.41764032073310431</v>
      </c>
      <c r="BC51" s="55">
        <f t="shared" si="80"/>
        <v>0.40105152471083061</v>
      </c>
      <c r="BD51" s="55">
        <f t="shared" si="80"/>
        <v>0.53742762613730366</v>
      </c>
      <c r="BE51" s="55">
        <f t="shared" si="80"/>
        <v>0.63696612665684826</v>
      </c>
      <c r="BF51" s="55">
        <f t="shared" si="80"/>
        <v>0.73173884938590827</v>
      </c>
      <c r="BG51" s="55">
        <f t="shared" si="80"/>
        <v>0.80651456019213441</v>
      </c>
      <c r="BH51" s="55">
        <f t="shared" si="80"/>
        <v>0.9299260255548083</v>
      </c>
      <c r="BI51" s="55">
        <f t="shared" ref="BI51:BO51" si="81">BI16/BE16-1</f>
        <v>0.84322986954565904</v>
      </c>
      <c r="BJ51" s="55">
        <f t="shared" si="81"/>
        <v>0.58417319895483399</v>
      </c>
      <c r="BK51" s="55">
        <f t="shared" si="81"/>
        <v>0.63190693809721643</v>
      </c>
      <c r="BL51" s="55">
        <f t="shared" si="81"/>
        <v>0.54024670708760203</v>
      </c>
      <c r="BM51" s="55">
        <f t="shared" si="81"/>
        <v>0.45893837705918239</v>
      </c>
      <c r="BN51" s="55">
        <f t="shared" si="81"/>
        <v>0.77102968897266733</v>
      </c>
      <c r="BO51" s="55">
        <f t="shared" si="81"/>
        <v>0.41598778004073322</v>
      </c>
      <c r="BP51" s="55"/>
      <c r="BQ51" s="54"/>
      <c r="BR51" s="54"/>
      <c r="BS51" s="53"/>
      <c r="BT51" s="53"/>
      <c r="BU51" s="55"/>
      <c r="BV51" s="55"/>
      <c r="BW51" s="55"/>
      <c r="BX51" s="55"/>
      <c r="BY51" s="55"/>
      <c r="BZ51" s="55"/>
      <c r="CA51" s="55"/>
      <c r="CB51" s="55"/>
      <c r="CC51" s="55"/>
      <c r="CD51" s="55"/>
      <c r="CE51" s="55"/>
      <c r="CF51" s="55"/>
      <c r="CG51" s="55"/>
      <c r="CH51" s="55"/>
      <c r="CI51" s="55"/>
      <c r="CJ51" s="55"/>
      <c r="CK51" s="55"/>
      <c r="CL51" s="40"/>
      <c r="CM51" s="40"/>
      <c r="CN51" s="37"/>
      <c r="CO51" s="40"/>
      <c r="CP51" s="40"/>
      <c r="CQ51" s="40"/>
      <c r="CR51" s="40"/>
      <c r="CS51" s="40"/>
      <c r="CT51" s="40"/>
      <c r="CU51" s="40"/>
      <c r="CV51" s="40"/>
      <c r="CW51" s="40"/>
      <c r="CX51" s="40"/>
      <c r="CY51" s="40"/>
      <c r="CZ51" s="40"/>
      <c r="DA51" s="40"/>
      <c r="DB51" s="49" t="s">
        <v>145</v>
      </c>
      <c r="DC51" s="46">
        <f>NPV(DC50,CH45:EV45)+CG45+Main!J5-Main!J6</f>
        <v>583813.20944320224</v>
      </c>
      <c r="DD51" s="40"/>
      <c r="DE51" s="40"/>
      <c r="DF51" s="40"/>
      <c r="DG51" s="40"/>
      <c r="DH51" s="40"/>
      <c r="DI51" s="40"/>
      <c r="DJ51" s="40"/>
      <c r="DK51" s="40"/>
      <c r="DL51" s="40"/>
      <c r="DM51" s="40"/>
      <c r="DN51" s="40"/>
      <c r="DO51" s="40"/>
      <c r="DP51" s="40"/>
      <c r="DQ51" s="40"/>
      <c r="DR51" s="40"/>
      <c r="DS51" s="40"/>
      <c r="DT51" s="40"/>
      <c r="DU51" s="40"/>
      <c r="DV51" s="40"/>
      <c r="DW51" s="40"/>
      <c r="DX51" s="40"/>
      <c r="DY51" s="40"/>
      <c r="DZ51" s="40"/>
      <c r="EA51" s="40"/>
      <c r="EB51" s="40"/>
      <c r="EC51" s="40"/>
      <c r="ED51" s="40"/>
      <c r="EE51" s="40"/>
      <c r="EF51" s="40"/>
      <c r="EG51" s="40"/>
      <c r="EH51" s="40"/>
      <c r="EI51" s="40"/>
      <c r="EJ51" s="40"/>
      <c r="EK51" s="40"/>
    </row>
    <row r="52" spans="2:141" ht="13" customHeight="1">
      <c r="B52" s="47" t="s">
        <v>189</v>
      </c>
      <c r="C52" s="53"/>
      <c r="D52" s="53"/>
      <c r="E52" s="53"/>
      <c r="F52" s="53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  <c r="X52" s="54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  <c r="AP52" s="54"/>
      <c r="AQ52" s="54"/>
      <c r="AR52" s="54"/>
      <c r="AS52" s="54"/>
      <c r="AT52" s="54"/>
      <c r="AU52" s="54"/>
      <c r="AV52" s="54"/>
      <c r="AW52" s="54"/>
      <c r="AX52" s="54"/>
      <c r="AY52" s="54"/>
      <c r="AZ52" s="54"/>
      <c r="BA52" s="55">
        <f t="shared" ref="BA52:BO52" si="82">SUM(BA14:BA19)/SUM(AW14:AW19)-1</f>
        <v>0.20686531105294947</v>
      </c>
      <c r="BB52" s="55">
        <f t="shared" si="82"/>
        <v>0.15421707873049262</v>
      </c>
      <c r="BC52" s="55">
        <f t="shared" si="82"/>
        <v>0.11244806094182835</v>
      </c>
      <c r="BD52" s="55">
        <f t="shared" si="82"/>
        <v>0.31081710612130808</v>
      </c>
      <c r="BE52" s="55">
        <f t="shared" si="82"/>
        <v>0.35507548586204019</v>
      </c>
      <c r="BF52" s="55">
        <f t="shared" si="82"/>
        <v>0.43038359285985561</v>
      </c>
      <c r="BG52" s="55">
        <f t="shared" si="82"/>
        <v>0.62026301455139676</v>
      </c>
      <c r="BH52" s="55">
        <f t="shared" si="82"/>
        <v>0.62584405430378842</v>
      </c>
      <c r="BI52" s="55">
        <f>SUM(BI14:BI19)/SUM(BE14:BE19)-1</f>
        <v>0.64341991874923066</v>
      </c>
      <c r="BJ52" s="55">
        <f t="shared" si="82"/>
        <v>0.58462110349954854</v>
      </c>
      <c r="BK52" s="55">
        <f t="shared" si="82"/>
        <v>0.66424935164729604</v>
      </c>
      <c r="BL52" s="55">
        <f t="shared" si="82"/>
        <v>0.67137361196117862</v>
      </c>
      <c r="BM52" s="55">
        <f t="shared" si="82"/>
        <v>0.60642720701149866</v>
      </c>
      <c r="BN52" s="55">
        <f t="shared" si="82"/>
        <v>0.64175603217158184</v>
      </c>
      <c r="BO52" s="55">
        <f t="shared" si="82"/>
        <v>0.32793697515366627</v>
      </c>
      <c r="BP52" s="55"/>
      <c r="BQ52" s="54"/>
      <c r="BR52" s="54"/>
      <c r="BS52" s="53"/>
      <c r="BT52" s="53"/>
      <c r="BU52" s="55"/>
      <c r="BV52" s="55"/>
      <c r="BW52" s="55"/>
      <c r="BX52" s="55"/>
      <c r="BY52" s="55"/>
      <c r="BZ52" s="55"/>
      <c r="CA52" s="55"/>
      <c r="CB52" s="55"/>
      <c r="CC52" s="55"/>
      <c r="CD52" s="55"/>
      <c r="CE52" s="55"/>
      <c r="CF52" s="55"/>
      <c r="CG52" s="55"/>
      <c r="CH52" s="55"/>
      <c r="CI52" s="55"/>
      <c r="CJ52" s="55"/>
      <c r="CK52" s="55"/>
      <c r="CL52" s="40"/>
      <c r="CM52" s="40"/>
      <c r="CN52" s="37"/>
      <c r="CO52" s="40"/>
      <c r="CP52" s="40"/>
      <c r="CQ52" s="40"/>
      <c r="CR52" s="40"/>
      <c r="CS52" s="40"/>
      <c r="CT52" s="40"/>
      <c r="CU52" s="40"/>
      <c r="CV52" s="40"/>
      <c r="CW52" s="40"/>
      <c r="CX52" s="40"/>
      <c r="CY52" s="40"/>
      <c r="CZ52" s="40"/>
      <c r="DA52" s="40"/>
      <c r="DB52" s="37" t="s">
        <v>145</v>
      </c>
      <c r="DC52" s="52">
        <f>DC51/Main!$J$3</f>
        <v>130.5777699492736</v>
      </c>
      <c r="DD52" s="40"/>
      <c r="DE52" s="40"/>
      <c r="DF52" s="40"/>
      <c r="DG52" s="40"/>
      <c r="DH52" s="40"/>
      <c r="DI52" s="40"/>
      <c r="DJ52" s="40"/>
      <c r="DK52" s="40"/>
      <c r="DL52" s="40"/>
      <c r="DM52" s="40"/>
      <c r="DN52" s="40"/>
      <c r="DO52" s="40"/>
      <c r="DP52" s="40"/>
      <c r="DQ52" s="40"/>
      <c r="DR52" s="40"/>
      <c r="DS52" s="40"/>
      <c r="DT52" s="40"/>
      <c r="DU52" s="40"/>
      <c r="DV52" s="40"/>
      <c r="DW52" s="40"/>
      <c r="DX52" s="40"/>
      <c r="DY52" s="40"/>
      <c r="DZ52" s="40"/>
      <c r="EA52" s="40"/>
      <c r="EB52" s="40"/>
      <c r="EC52" s="40"/>
      <c r="ED52" s="40"/>
      <c r="EE52" s="40"/>
      <c r="EF52" s="40"/>
      <c r="EG52" s="40"/>
      <c r="EH52" s="40"/>
      <c r="EI52" s="40"/>
      <c r="EJ52" s="40"/>
      <c r="EK52" s="40"/>
    </row>
    <row r="53" spans="2:141" ht="13" customHeight="1">
      <c r="B53" s="47" t="s">
        <v>196</v>
      </c>
      <c r="C53" s="53"/>
      <c r="D53" s="53"/>
      <c r="E53" s="53"/>
      <c r="F53" s="53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  <c r="V53" s="54"/>
      <c r="W53" s="54"/>
      <c r="X53" s="54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  <c r="AP53" s="54"/>
      <c r="AQ53" s="54"/>
      <c r="AR53" s="54"/>
      <c r="AS53" s="54"/>
      <c r="AT53" s="54"/>
      <c r="AU53" s="54"/>
      <c r="AV53" s="54"/>
      <c r="AW53" s="54"/>
      <c r="AX53" s="54"/>
      <c r="AY53" s="54"/>
      <c r="AZ53" s="54"/>
      <c r="BA53" s="55">
        <f t="shared" ref="BA53:BO53" si="83">BA19/AW19-1</f>
        <v>-7.2122052704576944E-2</v>
      </c>
      <c r="BB53" s="55">
        <f t="shared" si="83"/>
        <v>-0.11445012787723785</v>
      </c>
      <c r="BC53" s="55">
        <f t="shared" si="83"/>
        <v>-1.6487000634115456E-2</v>
      </c>
      <c r="BD53" s="55">
        <f t="shared" si="83"/>
        <v>0.52293577981651373</v>
      </c>
      <c r="BE53" s="55">
        <f t="shared" si="83"/>
        <v>0.79222720478325859</v>
      </c>
      <c r="BF53" s="55">
        <f t="shared" si="83"/>
        <v>0.77545126353790605</v>
      </c>
      <c r="BG53" s="55">
        <f t="shared" si="83"/>
        <v>0.28820116054158618</v>
      </c>
      <c r="BH53" s="55">
        <f t="shared" si="83"/>
        <v>0.23594377510040165</v>
      </c>
      <c r="BI53" s="55">
        <f>BI19/BE19-1</f>
        <v>0.32360300250208507</v>
      </c>
      <c r="BJ53" s="55">
        <f t="shared" si="83"/>
        <v>0.23708824725498179</v>
      </c>
      <c r="BK53" s="55">
        <f>BK19/BG19-1</f>
        <v>0.64114114114114118</v>
      </c>
      <c r="BL53" s="55">
        <f t="shared" si="83"/>
        <v>0.13241267262388301</v>
      </c>
      <c r="BM53" s="55">
        <f t="shared" si="83"/>
        <v>-0.17863894139886582</v>
      </c>
      <c r="BN53" s="55">
        <f t="shared" si="83"/>
        <v>-0.46909927679158447</v>
      </c>
      <c r="BO53" s="55">
        <f t="shared" si="83"/>
        <v>-0.49435803598658123</v>
      </c>
      <c r="BP53" s="55"/>
      <c r="BQ53" s="54"/>
      <c r="BR53" s="54"/>
      <c r="BS53" s="53"/>
      <c r="BT53" s="53"/>
      <c r="BU53" s="55"/>
      <c r="BV53" s="55"/>
      <c r="BW53" s="55"/>
      <c r="BX53" s="55"/>
      <c r="BY53" s="55"/>
      <c r="BZ53" s="55"/>
      <c r="CA53" s="55"/>
      <c r="CB53" s="55"/>
      <c r="CC53" s="55"/>
      <c r="CD53" s="55"/>
      <c r="CE53" s="55"/>
      <c r="CF53" s="55"/>
      <c r="CG53" s="55"/>
      <c r="CH53" s="55"/>
      <c r="CI53" s="55"/>
      <c r="CJ53" s="55"/>
      <c r="CK53" s="55"/>
      <c r="CL53" s="40"/>
      <c r="CM53" s="40"/>
      <c r="CN53" s="37"/>
      <c r="CO53" s="40"/>
      <c r="CP53" s="40"/>
      <c r="CQ53" s="40"/>
      <c r="CR53" s="40"/>
      <c r="CS53" s="40"/>
      <c r="CT53" s="40"/>
      <c r="CU53" s="40"/>
      <c r="CV53" s="40"/>
      <c r="CW53" s="40"/>
      <c r="CX53" s="40"/>
      <c r="CY53" s="40"/>
      <c r="CZ53" s="40"/>
      <c r="DA53" s="40"/>
      <c r="DB53" s="37"/>
      <c r="DC53" s="52"/>
      <c r="DD53" s="40"/>
      <c r="DE53" s="40"/>
      <c r="DF53" s="40"/>
      <c r="DG53" s="40"/>
      <c r="DH53" s="40"/>
      <c r="DI53" s="40"/>
      <c r="DJ53" s="40"/>
      <c r="DK53" s="40"/>
      <c r="DL53" s="40"/>
      <c r="DM53" s="40"/>
      <c r="DN53" s="40"/>
      <c r="DO53" s="40"/>
      <c r="DP53" s="40"/>
      <c r="DQ53" s="40"/>
      <c r="DR53" s="40"/>
      <c r="DS53" s="40"/>
      <c r="DT53" s="40"/>
      <c r="DU53" s="40"/>
      <c r="DV53" s="40"/>
      <c r="DW53" s="40"/>
      <c r="DX53" s="40"/>
      <c r="DY53" s="40"/>
      <c r="DZ53" s="40"/>
      <c r="EA53" s="40"/>
      <c r="EB53" s="40"/>
      <c r="EC53" s="40"/>
      <c r="ED53" s="40"/>
      <c r="EE53" s="40"/>
      <c r="EF53" s="40"/>
      <c r="EG53" s="40"/>
      <c r="EH53" s="40"/>
      <c r="EI53" s="40"/>
      <c r="EJ53" s="40"/>
      <c r="EK53" s="40"/>
    </row>
    <row r="54" spans="2:141" ht="13" customHeight="1">
      <c r="B54" s="47" t="s">
        <v>191</v>
      </c>
      <c r="C54" s="53"/>
      <c r="D54" s="53"/>
      <c r="E54" s="53"/>
      <c r="F54" s="53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  <c r="AP54" s="54"/>
      <c r="AQ54" s="54"/>
      <c r="AR54" s="54"/>
      <c r="AS54" s="54"/>
      <c r="AT54" s="54"/>
      <c r="AU54" s="54"/>
      <c r="AV54" s="54"/>
      <c r="AW54" s="54"/>
      <c r="AX54" s="54"/>
      <c r="AY54" s="54"/>
      <c r="AZ54" s="54"/>
      <c r="BA54" s="55">
        <f t="shared" ref="BA54:BO54" si="84">BA12/AW12-1</f>
        <v>-7.4634078983706109E-2</v>
      </c>
      <c r="BB54" s="55">
        <f t="shared" si="84"/>
        <v>-8.5865700677534074E-2</v>
      </c>
      <c r="BC54" s="55">
        <f t="shared" si="84"/>
        <v>-6.5853965062209419E-2</v>
      </c>
      <c r="BD54" s="55">
        <f t="shared" si="84"/>
        <v>-3.3000146993973245E-2</v>
      </c>
      <c r="BE54" s="55">
        <f t="shared" si="84"/>
        <v>4.5288368275759217E-2</v>
      </c>
      <c r="BF54" s="55">
        <f t="shared" si="84"/>
        <v>2.5390768327584912E-2</v>
      </c>
      <c r="BG54" s="55">
        <f t="shared" si="84"/>
        <v>6.4576886855913784E-3</v>
      </c>
      <c r="BH54" s="55">
        <f t="shared" si="84"/>
        <v>-6.1868207038078604E-2</v>
      </c>
      <c r="BI54" s="55">
        <f>BI12/BE12-1</f>
        <v>-7.487508922198427E-2</v>
      </c>
      <c r="BJ54" s="55">
        <f t="shared" si="84"/>
        <v>-9.2106204823588333E-2</v>
      </c>
      <c r="BK54" s="55">
        <f t="shared" si="84"/>
        <v>-0.1037962839192621</v>
      </c>
      <c r="BL54" s="55">
        <f t="shared" si="84"/>
        <v>-8.5473547759863933E-2</v>
      </c>
      <c r="BM54" s="55">
        <f t="shared" si="84"/>
        <v>-0.12468173752025302</v>
      </c>
      <c r="BN54" s="55">
        <f t="shared" si="84"/>
        <v>-5.565189973198803E-2</v>
      </c>
      <c r="BO54" s="55">
        <f t="shared" si="84"/>
        <v>7.129539861287193E-2</v>
      </c>
      <c r="BP54" s="55"/>
      <c r="BQ54" s="54"/>
      <c r="BR54" s="54"/>
      <c r="BS54" s="53"/>
      <c r="BT54" s="53"/>
      <c r="BU54" s="55"/>
      <c r="BV54" s="55"/>
      <c r="BW54" s="55"/>
      <c r="BX54" s="55"/>
      <c r="BY54" s="55"/>
      <c r="BZ54" s="55"/>
      <c r="CA54" s="55"/>
      <c r="CB54" s="55"/>
      <c r="CC54" s="55"/>
      <c r="CD54" s="55"/>
      <c r="CE54" s="55"/>
      <c r="CF54" s="55"/>
      <c r="CG54" s="55"/>
      <c r="CH54" s="55"/>
      <c r="CI54" s="55"/>
      <c r="CJ54" s="55"/>
      <c r="CK54" s="55"/>
      <c r="CL54" s="40"/>
      <c r="CM54" s="40"/>
      <c r="CN54" s="37"/>
      <c r="CO54" s="40"/>
      <c r="CP54" s="40"/>
      <c r="CQ54" s="40"/>
      <c r="CR54" s="40"/>
      <c r="CS54" s="40"/>
      <c r="CT54" s="40"/>
      <c r="CU54" s="40"/>
      <c r="CV54" s="40"/>
      <c r="CW54" s="40"/>
      <c r="CX54" s="40"/>
      <c r="CY54" s="40"/>
      <c r="CZ54" s="40"/>
      <c r="DA54" s="40"/>
      <c r="DB54" s="37"/>
      <c r="DC54" s="52"/>
      <c r="DD54" s="40"/>
      <c r="DE54" s="40"/>
      <c r="DF54" s="40"/>
      <c r="DG54" s="40"/>
      <c r="DH54" s="40"/>
      <c r="DI54" s="40"/>
      <c r="DJ54" s="40"/>
      <c r="DK54" s="40"/>
      <c r="DL54" s="40"/>
      <c r="DM54" s="40"/>
      <c r="DN54" s="40"/>
      <c r="DO54" s="40"/>
      <c r="DP54" s="40"/>
      <c r="DQ54" s="40"/>
      <c r="DR54" s="40"/>
      <c r="DS54" s="40"/>
      <c r="DT54" s="40"/>
      <c r="DU54" s="40"/>
      <c r="DV54" s="40"/>
      <c r="DW54" s="40"/>
      <c r="DX54" s="40"/>
      <c r="DY54" s="40"/>
      <c r="DZ54" s="40"/>
      <c r="EA54" s="40"/>
      <c r="EB54" s="40"/>
      <c r="EC54" s="40"/>
      <c r="ED54" s="40"/>
      <c r="EE54" s="40"/>
      <c r="EF54" s="40"/>
      <c r="EG54" s="40"/>
      <c r="EH54" s="40"/>
      <c r="EI54" s="40"/>
      <c r="EJ54" s="40"/>
      <c r="EK54" s="40"/>
    </row>
    <row r="55" spans="2:141" ht="13" customHeight="1">
      <c r="B55" s="37" t="s">
        <v>149</v>
      </c>
      <c r="C55" s="56">
        <f t="shared" ref="C55:N55" si="85">C33/C31</f>
        <v>0.77265875259091765</v>
      </c>
      <c r="D55" s="56">
        <f t="shared" si="85"/>
        <v>0.77011701170117008</v>
      </c>
      <c r="E55" s="56">
        <f t="shared" si="85"/>
        <v>0.76827316379157029</v>
      </c>
      <c r="F55" s="56">
        <f t="shared" si="85"/>
        <v>0.79845823730429943</v>
      </c>
      <c r="G55" s="56">
        <f t="shared" si="85"/>
        <v>0.79932789246279401</v>
      </c>
      <c r="H55" s="56">
        <f t="shared" si="85"/>
        <v>0.79924621182985922</v>
      </c>
      <c r="I55" s="56">
        <f t="shared" si="85"/>
        <v>0.78373854125149467</v>
      </c>
      <c r="J55" s="56">
        <f t="shared" si="85"/>
        <v>0.79468028351497599</v>
      </c>
      <c r="K55" s="56">
        <f t="shared" si="85"/>
        <v>0.80327629077080587</v>
      </c>
      <c r="L55" s="56">
        <f t="shared" si="85"/>
        <v>0.80713264908405868</v>
      </c>
      <c r="M55" s="56">
        <f t="shared" si="85"/>
        <v>0.8116016427104723</v>
      </c>
      <c r="N55" s="56">
        <f t="shared" si="85"/>
        <v>0.8</v>
      </c>
      <c r="O55" s="56"/>
      <c r="P55" s="56"/>
      <c r="Q55" s="56"/>
      <c r="R55" s="56"/>
      <c r="S55" s="56"/>
      <c r="T55" s="56"/>
      <c r="U55" s="56"/>
      <c r="V55" s="56"/>
      <c r="W55" s="56"/>
      <c r="X55" s="56"/>
      <c r="Y55" s="56"/>
      <c r="Z55" s="56"/>
      <c r="AA55" s="56"/>
      <c r="AB55" s="56"/>
      <c r="AC55" s="56"/>
      <c r="AD55" s="56"/>
      <c r="AE55" s="56"/>
      <c r="AF55" s="56"/>
      <c r="AG55" s="56"/>
      <c r="AH55" s="56"/>
      <c r="AI55" s="56"/>
      <c r="AJ55" s="56"/>
      <c r="AK55" s="56"/>
      <c r="AL55" s="56"/>
      <c r="AM55" s="56"/>
      <c r="AN55" s="56"/>
      <c r="AO55" s="56"/>
      <c r="AP55" s="56"/>
      <c r="AQ55" s="56"/>
      <c r="AR55" s="56"/>
      <c r="AS55" s="56"/>
      <c r="AT55" s="56"/>
      <c r="AU55" s="56"/>
      <c r="AV55" s="56"/>
      <c r="AW55" s="56"/>
      <c r="AX55" s="56">
        <f t="shared" ref="AX55" si="86">AX33/AX31</f>
        <v>0.83243359965450225</v>
      </c>
      <c r="AY55" s="56">
        <f t="shared" ref="AY55:BB55" si="87">AY33/AY31</f>
        <v>0.84100369003690034</v>
      </c>
      <c r="AZ55" s="56">
        <f t="shared" si="87"/>
        <v>0.84096514030527225</v>
      </c>
      <c r="BA55" s="56">
        <f t="shared" si="87"/>
        <v>0.83331716623015484</v>
      </c>
      <c r="BB55" s="56">
        <f t="shared" si="87"/>
        <v>0.8251602464372394</v>
      </c>
      <c r="BC55" s="56">
        <f t="shared" ref="BC55:BF55" si="88">BC33/BC31</f>
        <v>0.82809726659566918</v>
      </c>
      <c r="BD55" s="56">
        <f t="shared" si="88"/>
        <v>0.83211767198329345</v>
      </c>
      <c r="BE55" s="56">
        <f t="shared" si="88"/>
        <v>0.82990848352141933</v>
      </c>
      <c r="BF55" s="56">
        <f t="shared" si="88"/>
        <v>0.83718988860772703</v>
      </c>
      <c r="BG55" s="56">
        <f>BG33/BG31</f>
        <v>0.83543099141110133</v>
      </c>
      <c r="BH55" s="56">
        <f t="shared" ref="BH55:BO55" si="89">BH33/BH31</f>
        <v>0.85292620865139945</v>
      </c>
      <c r="BI55" s="56">
        <f>BI33/BI31</f>
        <v>0.8419874467804942</v>
      </c>
      <c r="BJ55" s="56">
        <f t="shared" si="89"/>
        <v>0.82820427513931627</v>
      </c>
      <c r="BK55" s="56">
        <f t="shared" si="89"/>
        <v>0.84668428054790412</v>
      </c>
      <c r="BL55" s="56">
        <f t="shared" si="89"/>
        <v>0.85532228360957641</v>
      </c>
      <c r="BM55" s="56">
        <f t="shared" si="89"/>
        <v>0.83461885545963799</v>
      </c>
      <c r="BN55" s="56">
        <f t="shared" si="89"/>
        <v>0.84795712311920202</v>
      </c>
      <c r="BO55" s="56">
        <f t="shared" si="89"/>
        <v>0.8482608762184578</v>
      </c>
      <c r="BP55" s="56"/>
      <c r="BQ55" s="56"/>
      <c r="BR55" s="56"/>
      <c r="BS55" s="39"/>
      <c r="BT55" s="39"/>
      <c r="BU55" s="39"/>
      <c r="BV55" s="39"/>
      <c r="BW55" s="39"/>
      <c r="BX55" s="39"/>
      <c r="BY55" s="39"/>
      <c r="BZ55" s="39"/>
      <c r="CA55" s="39"/>
      <c r="CB55" s="39"/>
      <c r="CC55" s="39"/>
      <c r="CD55" s="39"/>
      <c r="CE55" s="56">
        <f t="shared" ref="CE55:CS55" si="90">CE33/CE31</f>
        <v>0.79429297371249874</v>
      </c>
      <c r="CF55" s="56">
        <f t="shared" si="90"/>
        <v>0.80781887587205481</v>
      </c>
      <c r="CG55" s="56">
        <f t="shared" si="90"/>
        <v>0.81025231362855332</v>
      </c>
      <c r="CH55" s="56">
        <f t="shared" si="90"/>
        <v>0.82742931843231748</v>
      </c>
      <c r="CI55" s="56">
        <f t="shared" si="90"/>
        <v>0</v>
      </c>
      <c r="CJ55" s="56">
        <f t="shared" si="90"/>
        <v>0.83602459293290998</v>
      </c>
      <c r="CK55" s="56">
        <f t="shared" si="90"/>
        <v>0.85000972879816916</v>
      </c>
      <c r="CL55" s="56">
        <f t="shared" si="90"/>
        <v>0.84627840400787258</v>
      </c>
      <c r="CM55" s="56">
        <f t="shared" si="90"/>
        <v>0.84214295946139517</v>
      </c>
      <c r="CN55" s="56">
        <f t="shared" si="90"/>
        <v>0.84246765208215968</v>
      </c>
      <c r="CO55" s="56">
        <f t="shared" si="90"/>
        <v>0.8353725997983954</v>
      </c>
      <c r="CP55" s="56">
        <f t="shared" si="90"/>
        <v>0.83511099207537065</v>
      </c>
      <c r="CQ55" s="56">
        <f t="shared" si="90"/>
        <v>0.83197443181818187</v>
      </c>
      <c r="CR55" s="56">
        <f t="shared" si="90"/>
        <v>0.83923505543813648</v>
      </c>
      <c r="CS55" s="56">
        <f t="shared" si="90"/>
        <v>0.84601375177063731</v>
      </c>
      <c r="CT55" s="56"/>
      <c r="CU55" s="56"/>
      <c r="CV55" s="56"/>
      <c r="CW55" s="56"/>
      <c r="CX55" s="56"/>
      <c r="CY55" s="56"/>
      <c r="CZ55" s="56"/>
      <c r="DA55" s="40"/>
      <c r="DB55" s="40"/>
      <c r="DC55" s="40"/>
      <c r="DD55" s="40"/>
      <c r="DE55" s="40"/>
      <c r="DF55" s="40"/>
      <c r="DG55" s="40"/>
      <c r="DH55" s="40"/>
      <c r="DI55" s="40"/>
      <c r="DJ55" s="40"/>
      <c r="DK55" s="40"/>
      <c r="DL55" s="40"/>
      <c r="DM55" s="40"/>
      <c r="DN55" s="40"/>
      <c r="DO55" s="40"/>
      <c r="DP55" s="40"/>
      <c r="DQ55" s="40"/>
      <c r="DR55" s="40"/>
      <c r="DS55" s="40"/>
      <c r="DT55" s="40"/>
      <c r="DU55" s="40"/>
      <c r="DV55" s="40"/>
      <c r="DW55" s="40"/>
      <c r="DX55" s="40"/>
      <c r="DY55" s="40"/>
      <c r="DZ55" s="40"/>
      <c r="EA55" s="40"/>
      <c r="EB55" s="40"/>
      <c r="EC55" s="40"/>
      <c r="ED55" s="40"/>
      <c r="EE55" s="40"/>
      <c r="EF55" s="40"/>
      <c r="EG55" s="40"/>
      <c r="EH55" s="40"/>
      <c r="EI55" s="40"/>
      <c r="EJ55" s="40"/>
      <c r="EK55" s="40"/>
    </row>
    <row r="56" spans="2:141" ht="13" customHeight="1">
      <c r="B56" s="37" t="s">
        <v>202</v>
      </c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N56" s="56"/>
      <c r="O56" s="56"/>
      <c r="P56" s="56"/>
      <c r="Q56" s="56"/>
      <c r="R56" s="56"/>
      <c r="S56" s="56"/>
      <c r="T56" s="56"/>
      <c r="U56" s="56"/>
      <c r="V56" s="56"/>
      <c r="W56" s="56"/>
      <c r="X56" s="56"/>
      <c r="Y56" s="56"/>
      <c r="Z56" s="56"/>
      <c r="AA56" s="56"/>
      <c r="AB56" s="56"/>
      <c r="AC56" s="56"/>
      <c r="AD56" s="56"/>
      <c r="AE56" s="56"/>
      <c r="AF56" s="56"/>
      <c r="AG56" s="56"/>
      <c r="AH56" s="56"/>
      <c r="AI56" s="56"/>
      <c r="AJ56" s="56"/>
      <c r="AK56" s="56"/>
      <c r="AL56" s="56"/>
      <c r="AM56" s="56"/>
      <c r="AN56" s="56"/>
      <c r="AO56" s="56"/>
      <c r="AP56" s="56"/>
      <c r="AQ56" s="56"/>
      <c r="AR56" s="56"/>
      <c r="AS56" s="56"/>
      <c r="AT56" s="56"/>
      <c r="AU56" s="56"/>
      <c r="AV56" s="56"/>
      <c r="AW56" s="56"/>
      <c r="AX56" s="56">
        <f t="shared" ref="AX56" si="91">+AX34/AX31</f>
        <v>0.29416664095999012</v>
      </c>
      <c r="AY56" s="56">
        <f t="shared" ref="AY56:BB56" si="92">+AY34/AY31</f>
        <v>0.22405904059040591</v>
      </c>
      <c r="AZ56" s="56">
        <f t="shared" si="92"/>
        <v>0.24655068986202761</v>
      </c>
      <c r="BA56" s="56">
        <f t="shared" si="92"/>
        <v>0.26429980276134124</v>
      </c>
      <c r="BB56" s="56">
        <f t="shared" si="92"/>
        <v>0.30387703030680191</v>
      </c>
      <c r="BC56" s="56">
        <f>+BC34/BC31</f>
        <v>0.24423145189918352</v>
      </c>
      <c r="BD56" s="56">
        <f t="shared" ref="BD56:BO56" si="93">+BD34/BD31</f>
        <v>0.24215368784237765</v>
      </c>
      <c r="BE56" s="56">
        <f t="shared" si="93"/>
        <v>0.25599348717084947</v>
      </c>
      <c r="BF56" s="56">
        <f t="shared" si="93"/>
        <v>0.30344611692275586</v>
      </c>
      <c r="BG56" s="56">
        <f t="shared" si="93"/>
        <v>0.24227355999143491</v>
      </c>
      <c r="BH56" s="56">
        <f t="shared" si="93"/>
        <v>0.26269235429540772</v>
      </c>
      <c r="BI56" s="56">
        <f>+BI34/BI31</f>
        <v>0.25130579818285564</v>
      </c>
      <c r="BJ56" s="56">
        <f t="shared" si="93"/>
        <v>0.28576478416368628</v>
      </c>
      <c r="BK56" s="56">
        <f t="shared" si="93"/>
        <v>0.23257818502070568</v>
      </c>
      <c r="BL56" s="56">
        <f t="shared" si="93"/>
        <v>0.26412523020257828</v>
      </c>
      <c r="BM56" s="56">
        <f t="shared" si="93"/>
        <v>0.21826633294171732</v>
      </c>
      <c r="BN56" s="56">
        <f t="shared" si="93"/>
        <v>0.26069264989447793</v>
      </c>
      <c r="BO56" s="56">
        <f t="shared" si="93"/>
        <v>0.2028493167454743</v>
      </c>
      <c r="BP56" s="56"/>
      <c r="BQ56" s="56"/>
      <c r="BR56" s="56"/>
      <c r="BS56" s="39"/>
      <c r="BT56" s="39"/>
      <c r="BU56" s="39"/>
      <c r="BV56" s="39"/>
      <c r="BW56" s="39"/>
      <c r="BX56" s="39"/>
      <c r="BY56" s="39"/>
      <c r="BZ56" s="39"/>
      <c r="CA56" s="39"/>
      <c r="CB56" s="39"/>
      <c r="CC56" s="39"/>
      <c r="CD56" s="39"/>
      <c r="CE56" s="56"/>
      <c r="CF56" s="56"/>
      <c r="CG56" s="56"/>
      <c r="CH56" s="56"/>
      <c r="CI56" s="56"/>
      <c r="CJ56" s="56"/>
      <c r="CK56" s="56"/>
      <c r="CL56" s="40"/>
      <c r="CM56" s="40"/>
      <c r="CN56" s="40"/>
      <c r="CO56" s="40"/>
      <c r="CP56" s="40"/>
      <c r="CQ56" s="40"/>
      <c r="CR56" s="40"/>
      <c r="CS56" s="40"/>
      <c r="CT56" s="40"/>
      <c r="CU56" s="40"/>
      <c r="CV56" s="40"/>
      <c r="CW56" s="40"/>
      <c r="CX56" s="40"/>
      <c r="CY56" s="40"/>
      <c r="CZ56" s="40"/>
      <c r="DA56" s="40"/>
      <c r="DB56" s="40"/>
      <c r="DC56" s="40"/>
      <c r="DD56" s="40"/>
      <c r="DE56" s="40"/>
      <c r="DF56" s="40"/>
      <c r="DG56" s="40"/>
      <c r="DH56" s="40"/>
      <c r="DI56" s="40"/>
      <c r="DJ56" s="40"/>
      <c r="DK56" s="40"/>
      <c r="DL56" s="40"/>
      <c r="DM56" s="40"/>
      <c r="DN56" s="40"/>
      <c r="DO56" s="40"/>
      <c r="DP56" s="40"/>
      <c r="DQ56" s="40"/>
      <c r="DR56" s="40"/>
      <c r="DS56" s="40"/>
      <c r="DT56" s="40"/>
      <c r="DU56" s="40"/>
      <c r="DV56" s="40"/>
      <c r="DW56" s="40"/>
      <c r="DX56" s="40"/>
      <c r="DY56" s="40"/>
      <c r="DZ56" s="40"/>
      <c r="EA56" s="40"/>
      <c r="EB56" s="40"/>
      <c r="EC56" s="40"/>
      <c r="ED56" s="40"/>
      <c r="EE56" s="40"/>
      <c r="EF56" s="40"/>
      <c r="EG56" s="40"/>
      <c r="EH56" s="40"/>
      <c r="EI56" s="40"/>
      <c r="EJ56" s="40"/>
      <c r="EK56" s="40"/>
    </row>
    <row r="57" spans="2:141" ht="13" customHeight="1">
      <c r="B57" s="37" t="s">
        <v>203</v>
      </c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N57" s="56"/>
      <c r="O57" s="56"/>
      <c r="P57" s="56"/>
      <c r="Q57" s="56"/>
      <c r="R57" s="56"/>
      <c r="S57" s="56"/>
      <c r="T57" s="56"/>
      <c r="U57" s="56"/>
      <c r="V57" s="56"/>
      <c r="W57" s="56"/>
      <c r="X57" s="56"/>
      <c r="Y57" s="56"/>
      <c r="Z57" s="56"/>
      <c r="AA57" s="56"/>
      <c r="AB57" s="56"/>
      <c r="AC57" s="56"/>
      <c r="AD57" s="56"/>
      <c r="AE57" s="56"/>
      <c r="AF57" s="56"/>
      <c r="AG57" s="56"/>
      <c r="AH57" s="56"/>
      <c r="AI57" s="56"/>
      <c r="AJ57" s="56"/>
      <c r="AK57" s="56"/>
      <c r="AL57" s="56"/>
      <c r="AM57" s="56"/>
      <c r="AN57" s="56"/>
      <c r="AO57" s="56"/>
      <c r="AP57" s="56"/>
      <c r="AQ57" s="56"/>
      <c r="AR57" s="56"/>
      <c r="AS57" s="56"/>
      <c r="AT57" s="56"/>
      <c r="AU57" s="56"/>
      <c r="AV57" s="56"/>
      <c r="AW57" s="56"/>
      <c r="AX57" s="56">
        <f t="shared" ref="AX57" si="94">+AX35/AX31</f>
        <v>0.13523768393127064</v>
      </c>
      <c r="AY57" s="56">
        <f>+AY35/AY31</f>
        <v>0.11149815498154982</v>
      </c>
      <c r="AZ57" s="56">
        <f t="shared" ref="AZ57:BO57" si="95">+AZ35/AZ31</f>
        <v>0.10967806438712258</v>
      </c>
      <c r="BA57" s="56">
        <f t="shared" si="95"/>
        <v>0.12645908106185533</v>
      </c>
      <c r="BB57" s="56">
        <f t="shared" si="95"/>
        <v>0.13949218993092288</v>
      </c>
      <c r="BC57" s="56">
        <f t="shared" si="95"/>
        <v>0.11667258312625725</v>
      </c>
      <c r="BD57" s="56">
        <f t="shared" si="95"/>
        <v>0.11936684725038589</v>
      </c>
      <c r="BE57" s="56">
        <f t="shared" si="95"/>
        <v>0.11936443770703498</v>
      </c>
      <c r="BF57" s="56">
        <f t="shared" si="95"/>
        <v>0.14692301672188454</v>
      </c>
      <c r="BG57" s="56">
        <f t="shared" si="95"/>
        <v>0.12386095976779044</v>
      </c>
      <c r="BH57" s="56">
        <f t="shared" si="95"/>
        <v>0.124148794377802</v>
      </c>
      <c r="BI57" s="56">
        <f>+BI35/BI31</f>
        <v>0.12362287670631611</v>
      </c>
      <c r="BJ57" s="56">
        <f t="shared" si="95"/>
        <v>0.16811527904849038</v>
      </c>
      <c r="BK57" s="56">
        <f t="shared" si="95"/>
        <v>0.12607041804860683</v>
      </c>
      <c r="BL57" s="56">
        <f t="shared" si="95"/>
        <v>0.1312523020257827</v>
      </c>
      <c r="BM57" s="56">
        <f t="shared" si="95"/>
        <v>0.13839369327952869</v>
      </c>
      <c r="BN57" s="56">
        <f t="shared" si="95"/>
        <v>0.15881450890484794</v>
      </c>
      <c r="BO57" s="56">
        <f t="shared" si="95"/>
        <v>0.13169291037353287</v>
      </c>
      <c r="BP57" s="56"/>
      <c r="BQ57" s="56"/>
      <c r="BR57" s="56"/>
      <c r="BS57" s="39"/>
      <c r="BT57" s="39"/>
      <c r="BU57" s="39"/>
      <c r="BV57" s="39"/>
      <c r="BW57" s="39"/>
      <c r="BX57" s="39"/>
      <c r="BY57" s="39"/>
      <c r="BZ57" s="39"/>
      <c r="CA57" s="39"/>
      <c r="CB57" s="39"/>
      <c r="CC57" s="39"/>
      <c r="CD57" s="39"/>
      <c r="CE57" s="56"/>
      <c r="CF57" s="56"/>
      <c r="CG57" s="56"/>
      <c r="CH57" s="56"/>
      <c r="CI57" s="56"/>
      <c r="CJ57" s="56"/>
      <c r="CK57" s="56"/>
      <c r="CL57" s="40"/>
      <c r="CM57" s="40"/>
      <c r="CN57" s="40"/>
      <c r="CO57" s="40"/>
      <c r="CP57" s="40"/>
      <c r="CQ57" s="40"/>
      <c r="CR57" s="40"/>
      <c r="CS57" s="40"/>
      <c r="CT57" s="40"/>
      <c r="CU57" s="40"/>
      <c r="CV57" s="40"/>
      <c r="CW57" s="40"/>
      <c r="CX57" s="40"/>
      <c r="CY57" s="40"/>
      <c r="CZ57" s="40"/>
      <c r="DA57" s="40"/>
      <c r="DB57" s="40"/>
      <c r="DC57" s="40"/>
      <c r="DD57" s="40"/>
      <c r="DE57" s="40"/>
      <c r="DF57" s="40"/>
      <c r="DG57" s="40"/>
      <c r="DH57" s="40"/>
      <c r="DI57" s="40"/>
      <c r="DJ57" s="40"/>
      <c r="DK57" s="40"/>
      <c r="DL57" s="40"/>
      <c r="DM57" s="40"/>
      <c r="DN57" s="40"/>
      <c r="DO57" s="40"/>
      <c r="DP57" s="40"/>
      <c r="DQ57" s="40"/>
      <c r="DR57" s="40"/>
      <c r="DS57" s="40"/>
      <c r="DT57" s="40"/>
      <c r="DU57" s="40"/>
      <c r="DV57" s="40"/>
      <c r="DW57" s="40"/>
      <c r="DX57" s="40"/>
      <c r="DY57" s="40"/>
      <c r="DZ57" s="40"/>
      <c r="EA57" s="40"/>
      <c r="EB57" s="40"/>
      <c r="EC57" s="40"/>
      <c r="ED57" s="40"/>
      <c r="EE57" s="40"/>
      <c r="EF57" s="40"/>
      <c r="EG57" s="40"/>
      <c r="EH57" s="40"/>
      <c r="EI57" s="40"/>
      <c r="EJ57" s="40"/>
      <c r="EK57" s="40"/>
    </row>
    <row r="58" spans="2:141" ht="13" customHeight="1">
      <c r="B58" s="37" t="s">
        <v>150</v>
      </c>
      <c r="C58" s="56">
        <f>C44/C43</f>
        <v>0.42991631799163182</v>
      </c>
      <c r="D58" s="56">
        <f t="shared" ref="D58:M58" si="96">D44/D43</f>
        <v>0.27451556077510275</v>
      </c>
      <c r="E58" s="56">
        <f t="shared" si="96"/>
        <v>0.25752508361204013</v>
      </c>
      <c r="F58" s="56">
        <f t="shared" si="96"/>
        <v>0.24104234527687296</v>
      </c>
      <c r="G58" s="56">
        <f t="shared" si="96"/>
        <v>0.22995720399429387</v>
      </c>
      <c r="H58" s="56">
        <f t="shared" si="96"/>
        <v>0.22991761071060762</v>
      </c>
      <c r="I58" s="56">
        <f t="shared" si="96"/>
        <v>0.23620737454948712</v>
      </c>
      <c r="J58" s="56">
        <f t="shared" si="96"/>
        <v>0.22359625668449198</v>
      </c>
      <c r="K58" s="56">
        <f t="shared" si="96"/>
        <v>0.23002084781097984</v>
      </c>
      <c r="L58" s="56">
        <f t="shared" si="96"/>
        <v>0.23003472222222221</v>
      </c>
      <c r="M58" s="56">
        <f t="shared" si="96"/>
        <v>0.23002577319587628</v>
      </c>
      <c r="N58" s="56">
        <f>N44/N43</f>
        <v>0.25</v>
      </c>
      <c r="O58" s="56"/>
      <c r="P58" s="56"/>
      <c r="Q58" s="56"/>
      <c r="R58" s="56"/>
      <c r="S58" s="56"/>
      <c r="T58" s="56"/>
      <c r="U58" s="56"/>
      <c r="V58" s="56"/>
      <c r="W58" s="56"/>
      <c r="X58" s="56"/>
      <c r="Y58" s="56"/>
      <c r="Z58" s="56"/>
      <c r="AA58" s="56"/>
      <c r="AB58" s="56"/>
      <c r="AC58" s="56"/>
      <c r="AD58" s="56"/>
      <c r="AE58" s="56"/>
      <c r="AF58" s="56"/>
      <c r="AG58" s="56"/>
      <c r="AH58" s="56"/>
      <c r="AI58" s="56"/>
      <c r="AJ58" s="56"/>
      <c r="AK58" s="56"/>
      <c r="AL58" s="56"/>
      <c r="AM58" s="56"/>
      <c r="AN58" s="56"/>
      <c r="AO58" s="56"/>
      <c r="AP58" s="56"/>
      <c r="AQ58" s="56"/>
      <c r="AR58" s="56"/>
      <c r="AS58" s="56"/>
      <c r="AT58" s="56"/>
      <c r="AU58" s="56"/>
      <c r="AV58" s="56"/>
      <c r="AW58" s="56"/>
      <c r="AX58" s="56">
        <f t="shared" ref="AX58" si="97">+AX44/AX43</f>
        <v>0.21319613683545446</v>
      </c>
      <c r="AY58" s="56">
        <f t="shared" ref="AY58:BB58" si="98">+AY44/AY43</f>
        <v>0.20797550096531522</v>
      </c>
      <c r="AZ58" s="56">
        <f t="shared" si="98"/>
        <v>0.20803518187239117</v>
      </c>
      <c r="BA58" s="56">
        <f t="shared" si="98"/>
        <v>0.18855882121188244</v>
      </c>
      <c r="BB58" s="56">
        <f t="shared" si="98"/>
        <v>0.22362939510081653</v>
      </c>
      <c r="BC58" s="56">
        <f t="shared" ref="BC58:BG58" si="99">+BC44/BC43</f>
        <v>0.20799347471451876</v>
      </c>
      <c r="BD58" s="56">
        <f t="shared" si="99"/>
        <v>0.18730307702621171</v>
      </c>
      <c r="BE58" s="56">
        <f t="shared" si="99"/>
        <v>0.19805452620434091</v>
      </c>
      <c r="BF58" s="56">
        <f t="shared" si="99"/>
        <v>0.16937390375962785</v>
      </c>
      <c r="BG58" s="56">
        <f t="shared" si="99"/>
        <v>0.20698699704224566</v>
      </c>
      <c r="BH58" s="56">
        <f>+BH44/BH43</f>
        <v>0.20702590056564454</v>
      </c>
      <c r="BI58" s="56">
        <f>+BI44/BI43</f>
        <v>0.20114241348713399</v>
      </c>
      <c r="BJ58" s="56">
        <f t="shared" ref="BJ58:BO58" si="100">+BJ44/BJ43</f>
        <v>0.16695268448149056</v>
      </c>
      <c r="BK58" s="56">
        <f t="shared" si="100"/>
        <v>0.19901362331729797</v>
      </c>
      <c r="BL58" s="56">
        <f t="shared" si="100"/>
        <v>0.19897748824936093</v>
      </c>
      <c r="BM58" s="56">
        <f t="shared" si="100"/>
        <v>0.19901649859245268</v>
      </c>
      <c r="BN58" s="56">
        <f t="shared" si="100"/>
        <v>0.20481535119478639</v>
      </c>
      <c r="BO58" s="56">
        <f t="shared" si="100"/>
        <v>0.20399147816279214</v>
      </c>
      <c r="BP58" s="56"/>
      <c r="BQ58" s="56"/>
      <c r="BR58" s="56"/>
      <c r="BS58" s="39"/>
      <c r="BT58" s="39"/>
      <c r="BU58" s="39"/>
      <c r="BV58" s="39"/>
      <c r="BW58" s="39"/>
      <c r="BX58" s="39"/>
      <c r="BY58" s="39"/>
      <c r="BZ58" s="39"/>
      <c r="CA58" s="39"/>
      <c r="CB58" s="39"/>
      <c r="CC58" s="39"/>
      <c r="CD58" s="39"/>
      <c r="CE58" s="39"/>
      <c r="CF58" s="39"/>
      <c r="CG58" s="39"/>
      <c r="CH58" s="39"/>
      <c r="CI58" s="39"/>
      <c r="CJ58" s="39"/>
      <c r="CK58" s="39"/>
      <c r="CL58" s="40"/>
      <c r="CM58" s="40"/>
      <c r="CN58" s="40"/>
      <c r="CO58" s="40"/>
      <c r="CP58" s="40"/>
      <c r="CQ58" s="40"/>
      <c r="CR58" s="40"/>
      <c r="CS58" s="40"/>
      <c r="CT58" s="40"/>
      <c r="CU58" s="40"/>
      <c r="CV58" s="40"/>
      <c r="CW58" s="40"/>
      <c r="CX58" s="40"/>
      <c r="CY58" s="40"/>
      <c r="CZ58" s="40"/>
      <c r="DA58" s="40"/>
      <c r="DB58" s="40"/>
      <c r="DC58" s="40"/>
      <c r="DD58" s="40"/>
      <c r="DE58" s="40"/>
      <c r="DF58" s="40"/>
      <c r="DG58" s="40"/>
      <c r="DH58" s="40"/>
      <c r="DI58" s="40"/>
      <c r="DJ58" s="40"/>
      <c r="DK58" s="40"/>
      <c r="DL58" s="40"/>
      <c r="DM58" s="40"/>
      <c r="DN58" s="40"/>
      <c r="DO58" s="40"/>
      <c r="DP58" s="40"/>
      <c r="DQ58" s="40"/>
      <c r="DR58" s="40"/>
      <c r="DS58" s="40"/>
      <c r="DT58" s="40"/>
      <c r="DU58" s="40"/>
      <c r="DV58" s="40"/>
      <c r="DW58" s="40"/>
      <c r="DX58" s="40"/>
      <c r="DY58" s="40"/>
      <c r="DZ58" s="40"/>
      <c r="EA58" s="40"/>
      <c r="EB58" s="40"/>
      <c r="EC58" s="40"/>
      <c r="ED58" s="40"/>
      <c r="EE58" s="40"/>
      <c r="EF58" s="40"/>
      <c r="EG58" s="40"/>
      <c r="EH58" s="40"/>
      <c r="EI58" s="40"/>
      <c r="EJ58" s="40"/>
      <c r="EK58" s="40"/>
    </row>
    <row r="59" spans="2:141" ht="13" customHeight="1">
      <c r="B59" s="37" t="s">
        <v>151</v>
      </c>
      <c r="C59" s="39"/>
      <c r="D59" s="39"/>
      <c r="E59" s="39"/>
      <c r="F59" s="39"/>
      <c r="G59" s="56">
        <f t="shared" ref="G59:N59" si="101">+G46/C46-1</f>
        <v>0.26555470372527656</v>
      </c>
      <c r="H59" s="56">
        <f t="shared" si="101"/>
        <v>0.2317467921523495</v>
      </c>
      <c r="I59" s="56">
        <f t="shared" si="101"/>
        <v>5.6513780158608862E-2</v>
      </c>
      <c r="J59" s="56">
        <f t="shared" si="101"/>
        <v>2.9156860030458143E-2</v>
      </c>
      <c r="K59" s="56">
        <f t="shared" si="101"/>
        <v>0.27248103257280354</v>
      </c>
      <c r="L59" s="56">
        <f t="shared" si="101"/>
        <v>0.2244971740943098</v>
      </c>
      <c r="M59" s="56">
        <f t="shared" si="101"/>
        <v>0.34395333855076848</v>
      </c>
      <c r="N59" s="56">
        <f t="shared" si="101"/>
        <v>0.59020839337398123</v>
      </c>
      <c r="O59" s="56"/>
      <c r="P59" s="56"/>
      <c r="Q59" s="56"/>
      <c r="R59" s="56"/>
      <c r="S59" s="56"/>
      <c r="T59" s="56"/>
      <c r="U59" s="56"/>
      <c r="V59" s="56"/>
      <c r="W59" s="56"/>
      <c r="X59" s="56"/>
      <c r="Y59" s="56"/>
      <c r="Z59" s="56"/>
      <c r="AA59" s="56"/>
      <c r="AB59" s="56"/>
      <c r="AC59" s="56"/>
      <c r="AD59" s="56"/>
      <c r="AE59" s="56"/>
      <c r="AF59" s="56"/>
      <c r="AG59" s="56"/>
      <c r="AH59" s="56"/>
      <c r="AI59" s="56"/>
      <c r="AJ59" s="56"/>
      <c r="AK59" s="56"/>
      <c r="AL59" s="56"/>
      <c r="AM59" s="56"/>
      <c r="AN59" s="56"/>
      <c r="AO59" s="56"/>
      <c r="AP59" s="56"/>
      <c r="AQ59" s="56"/>
      <c r="AR59" s="56"/>
      <c r="AS59" s="56"/>
      <c r="AT59" s="56"/>
      <c r="AU59" s="56"/>
      <c r="AV59" s="56"/>
      <c r="AW59" s="56"/>
      <c r="AX59" s="56"/>
      <c r="AY59" s="56"/>
      <c r="AZ59" s="56"/>
      <c r="BA59" s="56"/>
      <c r="BB59" s="56"/>
      <c r="BC59" s="56"/>
      <c r="BD59" s="56"/>
      <c r="BE59" s="56"/>
      <c r="BF59" s="56"/>
      <c r="BG59" s="56"/>
      <c r="BH59" s="56"/>
      <c r="BI59" s="56"/>
      <c r="BJ59" s="56"/>
      <c r="BK59" s="56"/>
      <c r="BL59" s="56"/>
      <c r="BM59" s="56"/>
      <c r="BN59" s="56"/>
      <c r="BO59" s="56"/>
      <c r="BP59" s="56"/>
      <c r="BQ59" s="56"/>
      <c r="BR59" s="56"/>
      <c r="BS59" s="39"/>
      <c r="BT59" s="39"/>
      <c r="BU59" s="39"/>
      <c r="BV59" s="39"/>
      <c r="BW59" s="39"/>
      <c r="BX59" s="39"/>
      <c r="BY59" s="39"/>
      <c r="BZ59" s="39"/>
      <c r="CA59" s="39"/>
      <c r="CB59" s="39"/>
      <c r="CC59" s="39"/>
      <c r="CD59" s="39"/>
      <c r="CE59" s="39"/>
      <c r="CF59" s="39"/>
      <c r="CG59" s="39"/>
      <c r="CH59" s="39"/>
      <c r="CI59" s="39"/>
      <c r="CJ59" s="39"/>
      <c r="CK59" s="39"/>
      <c r="CL59" s="40"/>
      <c r="CM59" s="40"/>
      <c r="CN59" s="40"/>
      <c r="CO59" s="40"/>
      <c r="CP59" s="40"/>
      <c r="CQ59" s="40"/>
      <c r="CR59" s="40"/>
      <c r="CS59" s="40"/>
      <c r="CT59" s="40"/>
      <c r="CU59" s="40"/>
      <c r="CV59" s="40"/>
      <c r="CW59" s="40"/>
      <c r="CX59" s="40"/>
      <c r="CY59" s="40"/>
      <c r="CZ59" s="40"/>
      <c r="DA59" s="40"/>
      <c r="DB59" s="40"/>
      <c r="DC59" s="40"/>
      <c r="DD59" s="40"/>
      <c r="DE59" s="40"/>
      <c r="DF59" s="40"/>
      <c r="DG59" s="40"/>
      <c r="DH59" s="40"/>
      <c r="DI59" s="40"/>
      <c r="DJ59" s="40"/>
      <c r="DK59" s="40"/>
      <c r="DL59" s="40"/>
      <c r="DM59" s="40"/>
      <c r="DN59" s="40"/>
      <c r="DO59" s="40"/>
      <c r="DP59" s="40"/>
      <c r="DQ59" s="40"/>
      <c r="DR59" s="40"/>
      <c r="DS59" s="40"/>
      <c r="DT59" s="40"/>
      <c r="DU59" s="40"/>
      <c r="DV59" s="40"/>
      <c r="DW59" s="40"/>
      <c r="DX59" s="40"/>
      <c r="DY59" s="40"/>
      <c r="DZ59" s="40"/>
      <c r="EA59" s="40"/>
      <c r="EB59" s="40"/>
      <c r="EC59" s="40"/>
      <c r="ED59" s="40"/>
      <c r="EE59" s="40"/>
      <c r="EF59" s="40"/>
      <c r="EG59" s="40"/>
      <c r="EH59" s="40"/>
      <c r="EI59" s="40"/>
      <c r="EJ59" s="40"/>
      <c r="EK59" s="40"/>
    </row>
    <row r="61" spans="2:141" ht="13" customHeight="1">
      <c r="B61" s="37" t="s">
        <v>152</v>
      </c>
      <c r="C61" s="39"/>
      <c r="D61" s="39"/>
      <c r="E61" s="39"/>
      <c r="F61" s="39"/>
      <c r="G61" s="39"/>
      <c r="H61" s="39"/>
      <c r="I61" s="39"/>
      <c r="J61" s="39"/>
      <c r="K61" s="56">
        <v>0.21</v>
      </c>
      <c r="L61" s="39"/>
      <c r="M61" s="39"/>
      <c r="N61" s="39"/>
      <c r="O61" s="39"/>
      <c r="P61" s="39"/>
      <c r="Q61" s="39"/>
      <c r="R61" s="39"/>
      <c r="S61" s="39"/>
      <c r="T61" s="39"/>
      <c r="U61" s="39"/>
      <c r="V61" s="39"/>
      <c r="W61" s="39"/>
      <c r="X61" s="39"/>
      <c r="Y61" s="39"/>
      <c r="Z61" s="39"/>
      <c r="AA61" s="39"/>
      <c r="AB61" s="39"/>
      <c r="AC61" s="39"/>
      <c r="AD61" s="39"/>
      <c r="AE61" s="39"/>
      <c r="AF61" s="39"/>
      <c r="AG61" s="39"/>
      <c r="AH61" s="39"/>
      <c r="AI61" s="39"/>
      <c r="AJ61" s="39"/>
      <c r="AK61" s="39"/>
      <c r="AL61" s="39"/>
      <c r="AM61" s="39"/>
      <c r="AN61" s="39"/>
      <c r="AO61" s="39"/>
      <c r="AP61" s="39"/>
      <c r="AQ61" s="39"/>
      <c r="AR61" s="39"/>
      <c r="AS61" s="39"/>
      <c r="AT61" s="39"/>
      <c r="AU61" s="39"/>
      <c r="AV61" s="39"/>
      <c r="AW61" s="39"/>
      <c r="AX61" s="39"/>
      <c r="AY61" s="39"/>
      <c r="AZ61" s="39"/>
      <c r="BA61" s="39"/>
      <c r="BB61" s="39"/>
      <c r="BC61" s="39"/>
      <c r="BD61" s="39"/>
      <c r="BE61" s="39"/>
      <c r="BF61" s="39"/>
      <c r="BG61" s="39"/>
      <c r="BH61" s="39"/>
      <c r="BI61" s="39"/>
      <c r="BJ61" s="39"/>
      <c r="BK61" s="39"/>
      <c r="BL61" s="39"/>
      <c r="BM61" s="39"/>
      <c r="BN61" s="39"/>
      <c r="BO61" s="39"/>
      <c r="BP61" s="39"/>
      <c r="BQ61" s="39"/>
      <c r="BR61" s="39"/>
      <c r="BS61" s="39"/>
      <c r="BT61" s="39"/>
      <c r="BU61" s="39"/>
      <c r="BV61" s="39"/>
      <c r="BW61" s="39"/>
      <c r="BX61" s="39"/>
      <c r="BY61" s="39"/>
      <c r="BZ61" s="39"/>
      <c r="CA61" s="39"/>
      <c r="CB61" s="39"/>
      <c r="CC61" s="39"/>
      <c r="CD61" s="39"/>
      <c r="CE61" s="39"/>
      <c r="CF61" s="39"/>
      <c r="CG61" s="39"/>
      <c r="CH61" s="39"/>
      <c r="CI61" s="39"/>
      <c r="CJ61" s="39"/>
      <c r="CK61" s="39"/>
      <c r="CL61" s="40"/>
      <c r="CM61" s="40"/>
      <c r="CN61" s="40"/>
      <c r="CO61" s="40"/>
      <c r="CP61" s="40"/>
      <c r="CQ61" s="40"/>
      <c r="CR61" s="40"/>
      <c r="CS61" s="40"/>
      <c r="CT61" s="40"/>
      <c r="CU61" s="40"/>
      <c r="CV61" s="40"/>
      <c r="CW61" s="40"/>
      <c r="CX61" s="40"/>
      <c r="CY61" s="40"/>
      <c r="CZ61" s="40"/>
      <c r="DA61" s="40"/>
      <c r="DB61" s="40"/>
      <c r="DC61" s="40"/>
      <c r="DD61" s="40"/>
      <c r="DE61" s="40"/>
      <c r="DF61" s="40"/>
      <c r="DG61" s="40"/>
      <c r="DH61" s="40"/>
      <c r="DI61" s="40"/>
      <c r="DJ61" s="40"/>
      <c r="DK61" s="40"/>
      <c r="DL61" s="40"/>
      <c r="DM61" s="40"/>
      <c r="DN61" s="40"/>
      <c r="DO61" s="40"/>
      <c r="DP61" s="40"/>
      <c r="DQ61" s="40"/>
      <c r="DR61" s="40"/>
      <c r="DS61" s="40"/>
      <c r="DT61" s="40"/>
      <c r="DU61" s="40"/>
      <c r="DV61" s="40"/>
      <c r="DW61" s="40"/>
      <c r="DX61" s="40"/>
      <c r="DY61" s="40"/>
      <c r="DZ61" s="40"/>
      <c r="EA61" s="40"/>
      <c r="EB61" s="40"/>
      <c r="EC61" s="40"/>
      <c r="ED61" s="40"/>
      <c r="EE61" s="40"/>
      <c r="EF61" s="40"/>
      <c r="EG61" s="40"/>
      <c r="EH61" s="40"/>
      <c r="EI61" s="40"/>
      <c r="EJ61" s="40"/>
      <c r="EK61" s="40"/>
    </row>
    <row r="63" spans="2:141" ht="13" customHeight="1">
      <c r="B63" s="37" t="s">
        <v>153</v>
      </c>
      <c r="C63" s="39"/>
      <c r="D63" s="39"/>
      <c r="E63" s="39"/>
      <c r="F63" s="39"/>
      <c r="G63" s="39"/>
      <c r="H63" s="39"/>
      <c r="I63" s="39"/>
      <c r="J63" s="39"/>
      <c r="K63" s="57">
        <v>5221</v>
      </c>
      <c r="L63" s="39"/>
      <c r="M63" s="39"/>
      <c r="N63" s="39"/>
      <c r="O63" s="39"/>
      <c r="P63" s="39"/>
      <c r="Q63" s="39"/>
      <c r="R63" s="39"/>
      <c r="S63" s="39"/>
      <c r="T63" s="39"/>
      <c r="U63" s="39"/>
      <c r="V63" s="39"/>
      <c r="W63" s="39"/>
      <c r="X63" s="39"/>
      <c r="Y63" s="39"/>
      <c r="Z63" s="39"/>
      <c r="AA63" s="39"/>
      <c r="AB63" s="39"/>
      <c r="AC63" s="39"/>
      <c r="AD63" s="39"/>
      <c r="AE63" s="39"/>
      <c r="AF63" s="39"/>
      <c r="AG63" s="39"/>
      <c r="AH63" s="39"/>
      <c r="AI63" s="39"/>
      <c r="AJ63" s="39"/>
      <c r="AK63" s="39"/>
      <c r="AL63" s="39"/>
      <c r="AM63" s="39"/>
      <c r="AN63" s="39"/>
      <c r="AO63" s="39"/>
      <c r="AP63" s="39"/>
      <c r="AQ63" s="39"/>
      <c r="AR63" s="39"/>
      <c r="AS63" s="39"/>
      <c r="AT63" s="39"/>
      <c r="AU63" s="39"/>
      <c r="AV63" s="39"/>
      <c r="AW63" s="39"/>
      <c r="AX63" s="39"/>
      <c r="AY63" s="39"/>
      <c r="AZ63" s="39"/>
      <c r="BA63" s="39"/>
      <c r="BB63" s="39"/>
      <c r="BC63" s="39"/>
      <c r="BD63" s="39"/>
      <c r="BE63" s="39"/>
      <c r="BF63" s="39"/>
      <c r="BG63" s="39"/>
      <c r="BH63" s="39"/>
      <c r="BI63" s="39"/>
      <c r="BJ63" s="39"/>
      <c r="BK63" s="57">
        <v>29297</v>
      </c>
      <c r="BL63" s="57">
        <v>29663</v>
      </c>
      <c r="BM63" s="57">
        <v>35048</v>
      </c>
      <c r="BN63" s="57">
        <v>42621</v>
      </c>
      <c r="BO63" s="57">
        <v>39280</v>
      </c>
      <c r="BP63" s="39"/>
      <c r="BQ63" s="39"/>
      <c r="BR63" s="39"/>
      <c r="BS63" s="39"/>
      <c r="BT63" s="39"/>
      <c r="BU63" s="39"/>
      <c r="BV63" s="39"/>
      <c r="BW63" s="39"/>
      <c r="BX63" s="39"/>
      <c r="BY63" s="39"/>
      <c r="BZ63" s="39"/>
      <c r="CA63" s="39"/>
      <c r="CB63" s="39"/>
      <c r="CC63" s="39"/>
      <c r="CD63" s="39"/>
      <c r="CE63" s="39"/>
      <c r="CF63" s="39"/>
      <c r="CG63" s="39"/>
      <c r="CH63" s="39"/>
      <c r="CI63" s="39"/>
      <c r="CJ63" s="39"/>
      <c r="CK63" s="39"/>
      <c r="CL63" s="40"/>
      <c r="CM63" s="40"/>
      <c r="CN63" s="40"/>
      <c r="CO63" s="40"/>
      <c r="CP63" s="40"/>
      <c r="CQ63" s="40"/>
      <c r="CR63" s="40"/>
      <c r="CS63" s="40"/>
      <c r="CT63" s="40"/>
      <c r="CU63" s="40"/>
      <c r="CV63" s="40"/>
      <c r="CW63" s="40"/>
      <c r="CX63" s="40"/>
      <c r="CY63" s="40"/>
      <c r="CZ63" s="40"/>
      <c r="DA63" s="40"/>
      <c r="DB63" s="40"/>
      <c r="DC63" s="40"/>
      <c r="DD63" s="40"/>
      <c r="DE63" s="40"/>
      <c r="DF63" s="40"/>
      <c r="DG63" s="40"/>
      <c r="DH63" s="40"/>
      <c r="DI63" s="40"/>
      <c r="DJ63" s="40"/>
      <c r="DK63" s="40"/>
      <c r="DL63" s="40"/>
      <c r="DM63" s="40"/>
      <c r="DN63" s="40"/>
      <c r="DO63" s="40"/>
      <c r="DP63" s="40"/>
      <c r="DQ63" s="40"/>
      <c r="DR63" s="40"/>
      <c r="DS63" s="40"/>
      <c r="DT63" s="40"/>
      <c r="DU63" s="40"/>
      <c r="DV63" s="40"/>
      <c r="DW63" s="40"/>
      <c r="DX63" s="40"/>
      <c r="DY63" s="40"/>
      <c r="DZ63" s="40"/>
      <c r="EA63" s="40"/>
      <c r="EB63" s="40"/>
      <c r="EC63" s="40"/>
      <c r="ED63" s="40"/>
      <c r="EE63" s="40"/>
      <c r="EF63" s="40"/>
      <c r="EG63" s="40"/>
      <c r="EH63" s="40"/>
      <c r="EI63" s="40"/>
      <c r="EJ63" s="40"/>
      <c r="EK63" s="40"/>
    </row>
    <row r="64" spans="2:141" ht="13" customHeight="1">
      <c r="B64" s="37" t="s">
        <v>154</v>
      </c>
      <c r="C64" s="39"/>
      <c r="D64" s="39"/>
      <c r="E64" s="39"/>
      <c r="F64" s="39"/>
      <c r="G64" s="39"/>
      <c r="H64" s="39"/>
      <c r="I64" s="39"/>
      <c r="J64" s="39"/>
      <c r="K64" s="57">
        <v>4432</v>
      </c>
      <c r="L64" s="39"/>
      <c r="M64" s="39"/>
      <c r="N64" s="39"/>
      <c r="O64" s="39"/>
      <c r="P64" s="39"/>
      <c r="Q64" s="39"/>
      <c r="R64" s="39"/>
      <c r="S64" s="39"/>
      <c r="T64" s="39"/>
      <c r="U64" s="39"/>
      <c r="V64" s="39"/>
      <c r="W64" s="39"/>
      <c r="X64" s="39"/>
      <c r="Y64" s="39"/>
      <c r="Z64" s="39"/>
      <c r="AA64" s="39"/>
      <c r="AB64" s="39"/>
      <c r="AC64" s="39"/>
      <c r="AD64" s="39"/>
      <c r="AE64" s="39"/>
      <c r="AF64" s="39"/>
      <c r="AG64" s="39"/>
      <c r="AH64" s="39"/>
      <c r="AI64" s="39"/>
      <c r="AJ64" s="39"/>
      <c r="AK64" s="39"/>
      <c r="AL64" s="39"/>
      <c r="AM64" s="39"/>
      <c r="AN64" s="39"/>
      <c r="AO64" s="39"/>
      <c r="AP64" s="39"/>
      <c r="AQ64" s="39"/>
      <c r="AR64" s="39"/>
      <c r="AS64" s="39"/>
      <c r="AT64" s="39"/>
      <c r="AU64" s="39"/>
      <c r="AV64" s="39"/>
      <c r="AW64" s="39"/>
      <c r="AX64" s="39"/>
      <c r="AY64" s="39"/>
      <c r="AZ64" s="39"/>
      <c r="BA64" s="39"/>
      <c r="BB64" s="39"/>
      <c r="BC64" s="39"/>
      <c r="BD64" s="39"/>
      <c r="BE64" s="39"/>
      <c r="BF64" s="39"/>
      <c r="BG64" s="39"/>
      <c r="BH64" s="39"/>
      <c r="BI64" s="39"/>
      <c r="BJ64" s="39"/>
      <c r="BK64" s="57">
        <v>12742</v>
      </c>
      <c r="BL64" s="57">
        <v>12856</v>
      </c>
      <c r="BM64" s="57">
        <v>12563</v>
      </c>
      <c r="BN64" s="57">
        <v>12706</v>
      </c>
      <c r="BO64" s="57">
        <v>14326</v>
      </c>
      <c r="BP64" s="39"/>
      <c r="BQ64" s="39"/>
      <c r="BR64" s="39"/>
      <c r="BS64" s="39"/>
      <c r="BT64" s="39"/>
      <c r="BU64" s="39"/>
      <c r="BV64" s="39"/>
      <c r="BW64" s="39"/>
      <c r="BX64" s="39"/>
      <c r="BY64" s="39"/>
      <c r="BZ64" s="39"/>
      <c r="CA64" s="39"/>
      <c r="CB64" s="39"/>
      <c r="CC64" s="39"/>
      <c r="CD64" s="39"/>
      <c r="CE64" s="39"/>
      <c r="CF64" s="39"/>
      <c r="CG64" s="39"/>
      <c r="CH64" s="39"/>
      <c r="CI64" s="39"/>
      <c r="CJ64" s="39"/>
      <c r="CK64" s="39"/>
      <c r="CL64" s="40"/>
      <c r="CM64" s="40"/>
      <c r="CN64" s="40"/>
      <c r="CO64" s="40"/>
      <c r="CP64" s="40"/>
      <c r="CQ64" s="40"/>
      <c r="CR64" s="40"/>
      <c r="CS64" s="40"/>
      <c r="CT64" s="40"/>
      <c r="CU64" s="40"/>
      <c r="CV64" s="40"/>
      <c r="CW64" s="40"/>
      <c r="CX64" s="40"/>
      <c r="CY64" s="40"/>
      <c r="CZ64" s="40"/>
      <c r="DA64" s="40"/>
      <c r="DB64" s="40"/>
      <c r="DC64" s="40"/>
      <c r="DD64" s="40"/>
      <c r="DE64" s="40"/>
      <c r="DF64" s="40"/>
      <c r="DG64" s="40"/>
      <c r="DH64" s="40"/>
      <c r="DI64" s="40"/>
      <c r="DJ64" s="40"/>
      <c r="DK64" s="40"/>
      <c r="DL64" s="40"/>
      <c r="DM64" s="40"/>
      <c r="DN64" s="40"/>
      <c r="DO64" s="40"/>
      <c r="DP64" s="40"/>
      <c r="DQ64" s="40"/>
      <c r="DR64" s="40"/>
      <c r="DS64" s="40"/>
      <c r="DT64" s="40"/>
      <c r="DU64" s="40"/>
      <c r="DV64" s="40"/>
      <c r="DW64" s="40"/>
      <c r="DX64" s="40"/>
      <c r="DY64" s="40"/>
      <c r="DZ64" s="40"/>
      <c r="EA64" s="40"/>
      <c r="EB64" s="40"/>
      <c r="EC64" s="40"/>
      <c r="ED64" s="40"/>
      <c r="EE64" s="40"/>
      <c r="EF64" s="40"/>
      <c r="EG64" s="40"/>
      <c r="EH64" s="40"/>
      <c r="EI64" s="40"/>
      <c r="EJ64" s="40"/>
      <c r="EK64" s="40"/>
    </row>
    <row r="65" spans="2:141" ht="13" customHeight="1">
      <c r="B65" s="37" t="s">
        <v>155</v>
      </c>
      <c r="C65" s="39"/>
      <c r="D65" s="39"/>
      <c r="E65" s="39"/>
      <c r="F65" s="39"/>
      <c r="G65" s="39"/>
      <c r="H65" s="39"/>
      <c r="I65" s="39"/>
      <c r="J65" s="39"/>
      <c r="K65" s="57">
        <v>2865</v>
      </c>
      <c r="L65" s="39"/>
      <c r="M65" s="39"/>
      <c r="N65" s="39"/>
      <c r="O65" s="39"/>
      <c r="P65" s="39"/>
      <c r="Q65" s="39"/>
      <c r="R65" s="39"/>
      <c r="S65" s="39"/>
      <c r="T65" s="39"/>
      <c r="U65" s="39"/>
      <c r="V65" s="39"/>
      <c r="W65" s="39"/>
      <c r="X65" s="39"/>
      <c r="Y65" s="39"/>
      <c r="Z65" s="39"/>
      <c r="AA65" s="39"/>
      <c r="AB65" s="39"/>
      <c r="AC65" s="39"/>
      <c r="AD65" s="39"/>
      <c r="AE65" s="39"/>
      <c r="AF65" s="39"/>
      <c r="AG65" s="39"/>
      <c r="AH65" s="39"/>
      <c r="AI65" s="39"/>
      <c r="AJ65" s="39"/>
      <c r="AK65" s="39"/>
      <c r="AL65" s="39"/>
      <c r="AM65" s="39"/>
      <c r="AN65" s="39"/>
      <c r="AO65" s="39"/>
      <c r="AP65" s="39"/>
      <c r="AQ65" s="39"/>
      <c r="AR65" s="39"/>
      <c r="AS65" s="39"/>
      <c r="AT65" s="39"/>
      <c r="AU65" s="39"/>
      <c r="AV65" s="39"/>
      <c r="AW65" s="39"/>
      <c r="AX65" s="39"/>
      <c r="AY65" s="39"/>
      <c r="AZ65" s="39"/>
      <c r="BA65" s="39"/>
      <c r="BB65" s="39"/>
      <c r="BC65" s="39"/>
      <c r="BD65" s="39"/>
      <c r="BE65" s="39"/>
      <c r="BF65" s="39"/>
      <c r="BG65" s="39"/>
      <c r="BH65" s="39"/>
      <c r="BI65" s="39"/>
      <c r="BJ65" s="39"/>
      <c r="BK65" s="57">
        <f>4461+6867</f>
        <v>11328</v>
      </c>
      <c r="BL65" s="57">
        <f>4467+7314</f>
        <v>11781</v>
      </c>
      <c r="BM65" s="57">
        <f>4341+6779</f>
        <v>11120</v>
      </c>
      <c r="BN65" s="57">
        <f>3418+7118</f>
        <v>10536</v>
      </c>
      <c r="BO65" s="57">
        <f>4506+7237</f>
        <v>11743</v>
      </c>
      <c r="BP65" s="39"/>
      <c r="BQ65" s="39"/>
      <c r="BR65" s="39"/>
      <c r="BS65" s="39"/>
      <c r="BT65" s="39"/>
      <c r="BU65" s="39"/>
      <c r="BV65" s="39"/>
      <c r="BW65" s="39"/>
      <c r="BX65" s="39"/>
      <c r="BY65" s="39"/>
      <c r="BZ65" s="39"/>
      <c r="CA65" s="39"/>
      <c r="CB65" s="39"/>
      <c r="CC65" s="39"/>
      <c r="CD65" s="39"/>
      <c r="CE65" s="39"/>
      <c r="CF65" s="39"/>
      <c r="CG65" s="39"/>
      <c r="CH65" s="39"/>
      <c r="CI65" s="39"/>
      <c r="CJ65" s="39"/>
      <c r="CK65" s="39"/>
      <c r="CL65" s="40"/>
      <c r="CM65" s="40"/>
      <c r="CN65" s="40"/>
      <c r="CO65" s="40"/>
      <c r="CP65" s="40"/>
      <c r="CQ65" s="40"/>
      <c r="CR65" s="40"/>
      <c r="CS65" s="40"/>
      <c r="CT65" s="40"/>
      <c r="CU65" s="40"/>
      <c r="CV65" s="40"/>
      <c r="CW65" s="40"/>
      <c r="CX65" s="40"/>
      <c r="CY65" s="40"/>
      <c r="CZ65" s="40"/>
      <c r="DA65" s="40"/>
      <c r="DB65" s="40"/>
      <c r="DC65" s="40"/>
      <c r="DD65" s="40"/>
      <c r="DE65" s="40"/>
      <c r="DF65" s="40"/>
      <c r="DG65" s="40"/>
      <c r="DH65" s="40"/>
      <c r="DI65" s="40"/>
      <c r="DJ65" s="40"/>
      <c r="DK65" s="40"/>
      <c r="DL65" s="40"/>
      <c r="DM65" s="40"/>
      <c r="DN65" s="40"/>
      <c r="DO65" s="40"/>
      <c r="DP65" s="40"/>
      <c r="DQ65" s="40"/>
      <c r="DR65" s="40"/>
      <c r="DS65" s="40"/>
      <c r="DT65" s="40"/>
      <c r="DU65" s="40"/>
      <c r="DV65" s="40"/>
      <c r="DW65" s="40"/>
      <c r="DX65" s="40"/>
      <c r="DY65" s="40"/>
      <c r="DZ65" s="40"/>
      <c r="EA65" s="40"/>
      <c r="EB65" s="40"/>
      <c r="EC65" s="40"/>
      <c r="ED65" s="40"/>
      <c r="EE65" s="40"/>
      <c r="EF65" s="40"/>
      <c r="EG65" s="40"/>
      <c r="EH65" s="40"/>
      <c r="EI65" s="40"/>
      <c r="EJ65" s="40"/>
      <c r="EK65" s="40"/>
    </row>
    <row r="66" spans="2:141" ht="13" customHeight="1">
      <c r="B66" s="37" t="s">
        <v>156</v>
      </c>
      <c r="C66" s="39"/>
      <c r="D66" s="39"/>
      <c r="E66" s="39"/>
      <c r="F66" s="39"/>
      <c r="G66" s="39"/>
      <c r="H66" s="39"/>
      <c r="I66" s="39"/>
      <c r="J66" s="39"/>
      <c r="K66" s="57">
        <v>1156</v>
      </c>
      <c r="L66" s="39"/>
      <c r="M66" s="39"/>
      <c r="N66" s="39"/>
      <c r="O66" s="39"/>
      <c r="P66" s="39"/>
      <c r="Q66" s="39"/>
      <c r="R66" s="39"/>
      <c r="S66" s="39"/>
      <c r="T66" s="39"/>
      <c r="U66" s="39"/>
      <c r="V66" s="39"/>
      <c r="W66" s="39"/>
      <c r="X66" s="39"/>
      <c r="Y66" s="39"/>
      <c r="Z66" s="39"/>
      <c r="AA66" s="39"/>
      <c r="AB66" s="39"/>
      <c r="AC66" s="39"/>
      <c r="AD66" s="39"/>
      <c r="AE66" s="39"/>
      <c r="AF66" s="39"/>
      <c r="AG66" s="39"/>
      <c r="AH66" s="39"/>
      <c r="AI66" s="39"/>
      <c r="AJ66" s="39"/>
      <c r="AK66" s="39"/>
      <c r="AL66" s="39"/>
      <c r="AM66" s="39"/>
      <c r="AN66" s="39"/>
      <c r="AO66" s="39"/>
      <c r="AP66" s="39"/>
      <c r="AQ66" s="39"/>
      <c r="AR66" s="39"/>
      <c r="AS66" s="39"/>
      <c r="AT66" s="39"/>
      <c r="AU66" s="39"/>
      <c r="AV66" s="39"/>
      <c r="AW66" s="39"/>
      <c r="AX66" s="39"/>
      <c r="AY66" s="39"/>
      <c r="AZ66" s="39"/>
      <c r="BA66" s="39"/>
      <c r="BB66" s="39"/>
      <c r="BC66" s="39"/>
      <c r="BD66" s="39"/>
      <c r="BE66" s="39"/>
      <c r="BF66" s="39"/>
      <c r="BG66" s="39"/>
      <c r="BH66" s="39"/>
      <c r="BI66" s="39"/>
      <c r="BJ66" s="39"/>
      <c r="BK66" s="39"/>
      <c r="BL66" s="39"/>
      <c r="BM66" s="39"/>
      <c r="BN66" s="39"/>
      <c r="BO66" s="39"/>
      <c r="BP66" s="39"/>
      <c r="BQ66" s="39"/>
      <c r="BR66" s="39"/>
      <c r="BS66" s="39"/>
      <c r="BT66" s="39"/>
      <c r="BU66" s="39"/>
      <c r="BV66" s="39"/>
      <c r="BW66" s="39"/>
      <c r="BX66" s="39"/>
      <c r="BY66" s="39"/>
      <c r="BZ66" s="39"/>
      <c r="CA66" s="39"/>
      <c r="CB66" s="39"/>
      <c r="CC66" s="39"/>
      <c r="CD66" s="39"/>
      <c r="CE66" s="39"/>
      <c r="CF66" s="39"/>
      <c r="CG66" s="39"/>
      <c r="CH66" s="39"/>
      <c r="CI66" s="39"/>
      <c r="CJ66" s="39"/>
      <c r="CK66" s="39"/>
      <c r="CL66" s="40"/>
      <c r="CM66" s="40"/>
      <c r="CN66" s="40"/>
      <c r="CO66" s="40"/>
      <c r="CP66" s="40"/>
      <c r="CQ66" s="40"/>
      <c r="CR66" s="40"/>
      <c r="CS66" s="40"/>
      <c r="CT66" s="40"/>
      <c r="CU66" s="40"/>
      <c r="CV66" s="40"/>
      <c r="CW66" s="40"/>
      <c r="CX66" s="40"/>
      <c r="CY66" s="40"/>
      <c r="CZ66" s="40"/>
      <c r="DA66" s="40"/>
      <c r="DB66" s="40"/>
      <c r="DC66" s="40"/>
      <c r="DD66" s="40"/>
      <c r="DE66" s="40"/>
      <c r="DF66" s="40"/>
      <c r="DG66" s="40"/>
      <c r="DH66" s="40"/>
      <c r="DI66" s="40"/>
      <c r="DJ66" s="40"/>
      <c r="DK66" s="40"/>
      <c r="DL66" s="40"/>
      <c r="DM66" s="40"/>
      <c r="DN66" s="40"/>
      <c r="DO66" s="40"/>
      <c r="DP66" s="40"/>
      <c r="DQ66" s="40"/>
      <c r="DR66" s="40"/>
      <c r="DS66" s="40"/>
      <c r="DT66" s="40"/>
      <c r="DU66" s="40"/>
      <c r="DV66" s="40"/>
      <c r="DW66" s="40"/>
      <c r="DX66" s="40"/>
      <c r="DY66" s="40"/>
      <c r="DZ66" s="40"/>
      <c r="EA66" s="40"/>
      <c r="EB66" s="40"/>
      <c r="EC66" s="40"/>
      <c r="ED66" s="40"/>
      <c r="EE66" s="40"/>
      <c r="EF66" s="40"/>
      <c r="EG66" s="40"/>
      <c r="EH66" s="40"/>
      <c r="EI66" s="40"/>
      <c r="EJ66" s="40"/>
      <c r="EK66" s="40"/>
    </row>
    <row r="68" spans="2:141" ht="13" customHeight="1">
      <c r="B68" s="37" t="s">
        <v>157</v>
      </c>
      <c r="C68" s="39"/>
      <c r="D68" s="39"/>
      <c r="E68" s="39"/>
      <c r="F68" s="39"/>
      <c r="G68" s="57">
        <v>27429</v>
      </c>
      <c r="H68" s="57">
        <v>27998</v>
      </c>
      <c r="I68" s="57">
        <v>28497</v>
      </c>
      <c r="J68" s="57">
        <v>28809</v>
      </c>
      <c r="K68" s="57">
        <v>29154</v>
      </c>
      <c r="L68" s="57">
        <v>29364</v>
      </c>
      <c r="M68" s="57">
        <v>29515</v>
      </c>
      <c r="N68" s="39"/>
      <c r="O68" s="39"/>
      <c r="P68" s="39"/>
      <c r="Q68" s="39"/>
      <c r="R68" s="39"/>
      <c r="S68" s="39"/>
      <c r="T68" s="39"/>
      <c r="U68" s="39"/>
      <c r="V68" s="39"/>
      <c r="W68" s="39"/>
      <c r="X68" s="39"/>
      <c r="Y68" s="39"/>
      <c r="Z68" s="39"/>
      <c r="AA68" s="39"/>
      <c r="AB68" s="39"/>
      <c r="AC68" s="39"/>
      <c r="AD68" s="39"/>
      <c r="AE68" s="39"/>
      <c r="AF68" s="39"/>
      <c r="AG68" s="39"/>
      <c r="AH68" s="39"/>
      <c r="AI68" s="39"/>
      <c r="AJ68" s="39"/>
      <c r="AK68" s="39"/>
      <c r="AL68" s="39"/>
      <c r="AM68" s="39"/>
      <c r="AN68" s="39"/>
      <c r="AO68" s="39"/>
      <c r="AP68" s="39"/>
      <c r="AQ68" s="39"/>
      <c r="AR68" s="39"/>
      <c r="AS68" s="39"/>
      <c r="AT68" s="39"/>
      <c r="AU68" s="39"/>
      <c r="AV68" s="39"/>
      <c r="AW68" s="39"/>
      <c r="AX68" s="39"/>
      <c r="AY68" s="39"/>
      <c r="AZ68" s="39"/>
      <c r="BA68" s="39"/>
      <c r="BB68" s="39"/>
      <c r="BC68" s="57">
        <v>45157</v>
      </c>
      <c r="BD68" s="57">
        <v>45971</v>
      </c>
      <c r="BE68" s="57">
        <v>46982</v>
      </c>
      <c r="BF68" s="57">
        <v>47792</v>
      </c>
      <c r="BG68" s="57">
        <v>49295</v>
      </c>
      <c r="BH68" s="57">
        <v>50816</v>
      </c>
      <c r="BI68" s="57">
        <v>52696</v>
      </c>
      <c r="BJ68" s="57">
        <v>54393</v>
      </c>
      <c r="BK68" s="57">
        <v>57089</v>
      </c>
      <c r="BL68" s="57">
        <v>59337</v>
      </c>
      <c r="BM68" s="57">
        <v>61412</v>
      </c>
      <c r="BN68" s="57">
        <v>63370</v>
      </c>
      <c r="BO68" s="57">
        <v>66015</v>
      </c>
      <c r="BP68" s="39"/>
      <c r="BQ68" s="39"/>
      <c r="BR68" s="39"/>
      <c r="BS68" s="39"/>
      <c r="BT68" s="39"/>
      <c r="BU68" s="39"/>
      <c r="BV68" s="39"/>
      <c r="BW68" s="39"/>
      <c r="BX68" s="39"/>
      <c r="BY68" s="39"/>
      <c r="BZ68" s="39"/>
      <c r="CA68" s="39"/>
      <c r="CB68" s="39"/>
      <c r="CC68" s="39"/>
      <c r="CD68" s="57">
        <v>27068</v>
      </c>
      <c r="CE68" s="57">
        <v>29329</v>
      </c>
      <c r="CF68" s="57">
        <v>30483</v>
      </c>
      <c r="CG68" s="57">
        <v>32632</v>
      </c>
      <c r="CH68" s="57">
        <v>34731</v>
      </c>
      <c r="CI68" s="57">
        <v>38436</v>
      </c>
      <c r="CJ68" s="57">
        <v>41450</v>
      </c>
      <c r="CK68" s="57">
        <v>41222</v>
      </c>
      <c r="CL68" s="46">
        <v>42446</v>
      </c>
      <c r="CM68" s="40"/>
      <c r="CN68" s="40"/>
      <c r="CO68" s="40"/>
      <c r="CP68" s="40"/>
      <c r="CQ68" s="40"/>
      <c r="CR68" s="40"/>
      <c r="CS68" s="40"/>
      <c r="CT68" s="40"/>
      <c r="CU68" s="40"/>
      <c r="CV68" s="40"/>
      <c r="CW68" s="40"/>
      <c r="CX68" s="40"/>
      <c r="CY68" s="40"/>
      <c r="CZ68" s="40"/>
      <c r="DA68" s="40"/>
      <c r="DB68" s="40"/>
      <c r="DC68" s="40"/>
      <c r="DD68" s="40"/>
      <c r="DE68" s="40"/>
      <c r="DF68" s="40"/>
      <c r="DG68" s="40"/>
      <c r="DH68" s="40"/>
      <c r="DI68" s="40"/>
      <c r="DJ68" s="40"/>
      <c r="DK68" s="40"/>
      <c r="DL68" s="40"/>
      <c r="DM68" s="40"/>
      <c r="DN68" s="40"/>
      <c r="DO68" s="40"/>
      <c r="DP68" s="40"/>
      <c r="DQ68" s="40"/>
      <c r="DR68" s="40"/>
      <c r="DS68" s="40"/>
      <c r="DT68" s="40"/>
      <c r="DU68" s="40"/>
      <c r="DV68" s="40"/>
      <c r="DW68" s="40"/>
      <c r="DX68" s="40"/>
      <c r="DY68" s="40"/>
      <c r="DZ68" s="40"/>
      <c r="EA68" s="40"/>
      <c r="EB68" s="40"/>
      <c r="EC68" s="40"/>
      <c r="ED68" s="40"/>
      <c r="EE68" s="40"/>
      <c r="EF68" s="40"/>
      <c r="EG68" s="40"/>
      <c r="EH68" s="40"/>
      <c r="EI68" s="40"/>
      <c r="EJ68" s="40"/>
      <c r="EK68" s="40"/>
    </row>
    <row r="70" spans="2:141" ht="13" customHeight="1">
      <c r="B70" s="37" t="s">
        <v>219</v>
      </c>
      <c r="BI70" s="64">
        <f>+BI71-BI80</f>
        <v>11437</v>
      </c>
      <c r="BJ70" s="64">
        <f t="shared" ref="BJ70:BO70" si="102">+BJ71-BJ80</f>
        <v>0</v>
      </c>
      <c r="BK70" s="64">
        <f t="shared" si="102"/>
        <v>0</v>
      </c>
      <c r="BL70" s="64">
        <f t="shared" si="102"/>
        <v>0</v>
      </c>
      <c r="BM70" s="64">
        <f t="shared" si="102"/>
        <v>0</v>
      </c>
      <c r="BN70" s="64">
        <f t="shared" si="102"/>
        <v>5959</v>
      </c>
      <c r="BO70" s="64">
        <f>+BO71-BO80</f>
        <v>-16723</v>
      </c>
    </row>
    <row r="71" spans="2:141" ht="13" customHeight="1">
      <c r="B71" s="37" t="s">
        <v>206</v>
      </c>
      <c r="BI71" s="64">
        <f>28465+5277+9008+781+458</f>
        <v>43989</v>
      </c>
      <c r="BJ71" s="64"/>
      <c r="BK71" s="64"/>
      <c r="BL71" s="64"/>
      <c r="BM71" s="64"/>
      <c r="BN71" s="64">
        <f>14392+2344+15838+1253+410</f>
        <v>34237</v>
      </c>
      <c r="BO71" s="64">
        <f>6324+1768+2979+1244</f>
        <v>12315</v>
      </c>
    </row>
    <row r="72" spans="2:141" ht="13" customHeight="1">
      <c r="B72" s="37" t="s">
        <v>134</v>
      </c>
      <c r="BI72" s="64">
        <f>5406+247</f>
        <v>5653</v>
      </c>
      <c r="BJ72" s="64"/>
      <c r="BK72" s="64"/>
      <c r="BL72" s="64"/>
      <c r="BM72" s="64"/>
      <c r="BN72" s="64">
        <v>8068</v>
      </c>
      <c r="BO72" s="64">
        <f>8643+2012+407</f>
        <v>11062</v>
      </c>
    </row>
    <row r="73" spans="2:141" ht="13" customHeight="1">
      <c r="B73" s="37" t="s">
        <v>212</v>
      </c>
      <c r="BI73" s="64">
        <f>2541+11303</f>
        <v>13844</v>
      </c>
      <c r="BJ73" s="64"/>
      <c r="BK73" s="64"/>
      <c r="BL73" s="64"/>
      <c r="BM73" s="64"/>
      <c r="BN73" s="57">
        <f>20380+2423</f>
        <v>22803</v>
      </c>
      <c r="BO73" s="64">
        <f>6108+20967</f>
        <v>27075</v>
      </c>
    </row>
    <row r="74" spans="2:141" ht="13" customHeight="1">
      <c r="B74" s="37" t="s">
        <v>211</v>
      </c>
      <c r="BI74" s="64">
        <v>45563</v>
      </c>
      <c r="BJ74" s="64"/>
      <c r="BK74" s="64"/>
      <c r="BL74" s="64"/>
      <c r="BM74" s="64"/>
      <c r="BN74" s="64">
        <f>1430+64770</f>
        <v>66200</v>
      </c>
      <c r="BO74" s="64">
        <v>56999</v>
      </c>
    </row>
    <row r="75" spans="2:141" ht="13" customHeight="1">
      <c r="B75" s="37" t="s">
        <v>210</v>
      </c>
      <c r="BI75" s="64">
        <v>23222</v>
      </c>
      <c r="BJ75" s="64"/>
      <c r="BK75" s="64"/>
      <c r="BL75" s="64"/>
      <c r="BM75" s="64"/>
      <c r="BN75" s="64">
        <v>31811</v>
      </c>
      <c r="BO75" s="64">
        <v>33600</v>
      </c>
    </row>
    <row r="76" spans="2:141" ht="13" customHeight="1">
      <c r="B76" s="37" t="s">
        <v>209</v>
      </c>
      <c r="BI76" s="64">
        <v>63641</v>
      </c>
      <c r="BJ76" s="64"/>
      <c r="BK76" s="64"/>
      <c r="BL76" s="64"/>
      <c r="BM76" s="64"/>
      <c r="BN76" s="64">
        <v>90961</v>
      </c>
      <c r="BO76" s="64">
        <v>98230</v>
      </c>
    </row>
    <row r="77" spans="2:141" ht="13" customHeight="1">
      <c r="B77" s="37" t="s">
        <v>208</v>
      </c>
      <c r="BI77" s="64">
        <v>46924</v>
      </c>
      <c r="BJ77" s="64"/>
      <c r="BK77" s="64"/>
      <c r="BL77" s="64"/>
      <c r="BM77" s="64"/>
      <c r="BN77" s="64">
        <v>60406</v>
      </c>
      <c r="BO77" s="64">
        <v>59640</v>
      </c>
    </row>
    <row r="78" spans="2:141" ht="13" customHeight="1">
      <c r="B78" s="37" t="s">
        <v>207</v>
      </c>
      <c r="BI78" s="64">
        <f>SUM(BI71:BI77)</f>
        <v>242836</v>
      </c>
      <c r="BJ78" s="64">
        <f t="shared" ref="BJ78:BO78" si="103">SUM(BJ71:BJ77)</f>
        <v>0</v>
      </c>
      <c r="BK78" s="64">
        <f t="shared" si="103"/>
        <v>0</v>
      </c>
      <c r="BL78" s="64">
        <f t="shared" si="103"/>
        <v>0</v>
      </c>
      <c r="BM78" s="64">
        <f t="shared" si="103"/>
        <v>0</v>
      </c>
      <c r="BN78" s="64">
        <f t="shared" si="103"/>
        <v>314486</v>
      </c>
      <c r="BO78" s="64">
        <f t="shared" si="103"/>
        <v>298921</v>
      </c>
    </row>
    <row r="80" spans="2:141" ht="13" customHeight="1">
      <c r="B80" s="37" t="s">
        <v>213</v>
      </c>
      <c r="BI80" s="64">
        <f>24136+1833+6583</f>
        <v>32552</v>
      </c>
      <c r="BJ80" s="64"/>
      <c r="BK80" s="64"/>
      <c r="BL80" s="64"/>
      <c r="BM80" s="64"/>
      <c r="BN80" s="64">
        <f>1272+6478+20528</f>
        <v>28278</v>
      </c>
      <c r="BO80" s="64">
        <f>16764+10164+2110</f>
        <v>29038</v>
      </c>
    </row>
    <row r="81" spans="2:67" ht="13" customHeight="1">
      <c r="B81" s="37" t="s">
        <v>214</v>
      </c>
      <c r="BI81" s="64">
        <f>84745+5300</f>
        <v>90045</v>
      </c>
      <c r="BJ81" s="64"/>
      <c r="BK81" s="64"/>
      <c r="BL81" s="64"/>
      <c r="BM81" s="64"/>
      <c r="BN81" s="64">
        <f>100478+6649</f>
        <v>107127</v>
      </c>
      <c r="BO81" s="64">
        <f>7177+102937</f>
        <v>110114</v>
      </c>
    </row>
    <row r="82" spans="2:67" ht="13" customHeight="1">
      <c r="B82" s="37" t="s">
        <v>134</v>
      </c>
      <c r="BI82" s="64">
        <f>21389+240</f>
        <v>21629</v>
      </c>
      <c r="BJ82" s="64"/>
      <c r="BK82" s="64"/>
      <c r="BL82" s="64"/>
      <c r="BM82" s="64"/>
      <c r="BN82" s="64">
        <f>28705+189</f>
        <v>28894</v>
      </c>
      <c r="BO82" s="64">
        <f>31425+15</f>
        <v>31440</v>
      </c>
    </row>
    <row r="83" spans="2:67" ht="13" customHeight="1">
      <c r="B83" s="37" t="s">
        <v>212</v>
      </c>
      <c r="BI83" s="64">
        <v>7397</v>
      </c>
      <c r="BJ83" s="64"/>
      <c r="BK83" s="64"/>
      <c r="BL83" s="64"/>
      <c r="BM83" s="64"/>
      <c r="BN83" s="64">
        <f>7116+10162</f>
        <v>17278</v>
      </c>
      <c r="BO83" s="64">
        <f>5964+9664</f>
        <v>15628</v>
      </c>
    </row>
    <row r="84" spans="2:67" ht="13" customHeight="1">
      <c r="B84" s="37" t="s">
        <v>215</v>
      </c>
      <c r="BI84" s="64">
        <v>8310</v>
      </c>
      <c r="BJ84" s="64"/>
      <c r="BK84" s="64"/>
      <c r="BL84" s="64"/>
      <c r="BM84" s="64"/>
      <c r="BN84" s="64">
        <v>25606</v>
      </c>
      <c r="BO84" s="64">
        <v>13006</v>
      </c>
    </row>
    <row r="85" spans="2:67" ht="13" customHeight="1">
      <c r="B85" s="37" t="s">
        <v>216</v>
      </c>
      <c r="BI85" s="64">
        <f>5640+583</f>
        <v>6223</v>
      </c>
      <c r="BJ85" s="64"/>
      <c r="BK85" s="64"/>
      <c r="BL85" s="64"/>
      <c r="BM85" s="64"/>
      <c r="BN85" s="64">
        <v>742</v>
      </c>
      <c r="BO85" s="64">
        <v>784</v>
      </c>
    </row>
    <row r="86" spans="2:67" ht="13" customHeight="1">
      <c r="B86" s="37" t="s">
        <v>217</v>
      </c>
      <c r="BI86" s="64">
        <v>76680</v>
      </c>
      <c r="BJ86" s="64"/>
      <c r="BK86" s="64"/>
      <c r="BL86" s="64"/>
      <c r="BM86" s="64"/>
      <c r="BN86" s="64">
        <v>106561</v>
      </c>
      <c r="BO86" s="64">
        <v>98911</v>
      </c>
    </row>
    <row r="87" spans="2:67" ht="13" customHeight="1">
      <c r="B87" s="37" t="s">
        <v>218</v>
      </c>
      <c r="BI87" s="64">
        <f>SUM(BI80:BI86)</f>
        <v>242836</v>
      </c>
      <c r="BJ87" s="64"/>
      <c r="BK87" s="64"/>
      <c r="BL87" s="64"/>
      <c r="BM87" s="64"/>
      <c r="BN87" s="64">
        <f>SUM(BN80:BN86)</f>
        <v>314486</v>
      </c>
      <c r="BO87" s="64">
        <f>SUM(BO80:BO86)</f>
        <v>298921</v>
      </c>
    </row>
    <row r="89" spans="2:67" ht="13" customHeight="1">
      <c r="B89" s="37" t="s">
        <v>316</v>
      </c>
      <c r="BK89" s="64">
        <f>+BK45</f>
        <v>19814</v>
      </c>
      <c r="BO89" s="64">
        <f>+BO45</f>
        <v>25407</v>
      </c>
    </row>
    <row r="90" spans="2:67" ht="13" customHeight="1">
      <c r="B90" s="37" t="s">
        <v>315</v>
      </c>
      <c r="BK90" s="64">
        <v>19814</v>
      </c>
      <c r="BO90" s="64">
        <v>25407</v>
      </c>
    </row>
    <row r="91" spans="2:67" ht="13" customHeight="1">
      <c r="B91" s="37" t="s">
        <v>318</v>
      </c>
      <c r="BK91" s="64">
        <v>4923</v>
      </c>
      <c r="BO91" s="64">
        <v>6511</v>
      </c>
    </row>
    <row r="92" spans="2:67" ht="13" customHeight="1">
      <c r="B92" s="37" t="s">
        <v>323</v>
      </c>
      <c r="BK92" s="64">
        <v>1719</v>
      </c>
      <c r="BO92" s="64">
        <v>2914</v>
      </c>
    </row>
    <row r="93" spans="2:67" ht="13" customHeight="1">
      <c r="B93" s="37" t="s">
        <v>322</v>
      </c>
      <c r="BK93" s="64">
        <v>20230</v>
      </c>
      <c r="BO93" s="64">
        <v>118</v>
      </c>
    </row>
    <row r="94" spans="2:67" ht="13" customHeight="1">
      <c r="B94" s="37" t="s">
        <v>321</v>
      </c>
      <c r="BK94" s="64">
        <v>-10216</v>
      </c>
      <c r="BO94" s="64">
        <v>-8852</v>
      </c>
    </row>
    <row r="95" spans="2:67" ht="13" customHeight="1">
      <c r="B95" s="37" t="s">
        <v>320</v>
      </c>
      <c r="BK95" s="64">
        <v>188</v>
      </c>
      <c r="BO95" s="64">
        <v>480</v>
      </c>
    </row>
    <row r="96" spans="2:67" ht="13" customHeight="1">
      <c r="B96" s="37" t="s">
        <v>319</v>
      </c>
      <c r="BK96" s="64">
        <v>-165</v>
      </c>
      <c r="BO96" s="64">
        <v>-140</v>
      </c>
    </row>
    <row r="97" spans="2:67" ht="13" customHeight="1">
      <c r="B97" s="37" t="s">
        <v>318</v>
      </c>
      <c r="BK97" s="64">
        <v>-6679</v>
      </c>
      <c r="BO97" s="64">
        <v>-12124</v>
      </c>
    </row>
    <row r="98" spans="2:67" ht="13" customHeight="1">
      <c r="B98" s="37" t="s">
        <v>317</v>
      </c>
      <c r="BK98" s="64">
        <f>SUM(BK90:BK97)</f>
        <v>29814</v>
      </c>
      <c r="BO98" s="64">
        <f>SUM(BO90:BO97)</f>
        <v>14314</v>
      </c>
    </row>
    <row r="100" spans="2:67" ht="13" customHeight="1">
      <c r="B100" s="37" t="s">
        <v>324</v>
      </c>
      <c r="BK100" s="64">
        <v>-108</v>
      </c>
      <c r="BL100" s="64"/>
      <c r="BM100" s="64"/>
      <c r="BN100" s="64"/>
      <c r="BO100" s="64">
        <v>-535</v>
      </c>
    </row>
    <row r="101" spans="2:67" ht="13" customHeight="1">
      <c r="B101" s="37" t="s">
        <v>209</v>
      </c>
      <c r="BK101" s="64">
        <v>-4693</v>
      </c>
      <c r="BL101" s="64"/>
      <c r="BM101" s="64"/>
      <c r="BN101" s="64"/>
      <c r="BO101" s="64">
        <v>-8474</v>
      </c>
    </row>
    <row r="102" spans="2:67" ht="13" customHeight="1">
      <c r="B102" s="37" t="s">
        <v>325</v>
      </c>
      <c r="BK102" s="64">
        <f>33-7-2354+482</f>
        <v>-1846</v>
      </c>
      <c r="BL102" s="64"/>
      <c r="BM102" s="64"/>
      <c r="BN102" s="64"/>
      <c r="BO102" s="64">
        <f>-15-1145+14125</f>
        <v>12965</v>
      </c>
    </row>
    <row r="103" spans="2:67" ht="13" customHeight="1">
      <c r="B103" s="37" t="s">
        <v>326</v>
      </c>
      <c r="BK103" s="64">
        <f>SUM(BK100:BK102)</f>
        <v>-6647</v>
      </c>
      <c r="BL103" s="64"/>
      <c r="BM103" s="64"/>
      <c r="BN103" s="64"/>
      <c r="BO103" s="64">
        <f>SUM(BO100:BO102)</f>
        <v>3956</v>
      </c>
    </row>
    <row r="105" spans="2:67" ht="13" customHeight="1">
      <c r="B105" s="37" t="s">
        <v>330</v>
      </c>
      <c r="BK105" s="64">
        <v>-5199</v>
      </c>
      <c r="BL105" s="64"/>
      <c r="BM105" s="64"/>
      <c r="BN105" s="64"/>
      <c r="BO105" s="64">
        <v>-2836</v>
      </c>
    </row>
    <row r="106" spans="2:67" ht="13" customHeight="1">
      <c r="B106" s="37" t="s">
        <v>329</v>
      </c>
      <c r="BK106" s="64">
        <v>-18337</v>
      </c>
      <c r="BL106" s="64"/>
      <c r="BM106" s="64"/>
      <c r="BN106" s="64"/>
      <c r="BO106" s="64">
        <v>-28557</v>
      </c>
    </row>
    <row r="107" spans="2:67" ht="13" customHeight="1">
      <c r="B107" s="37" t="s">
        <v>328</v>
      </c>
      <c r="BK107" s="64">
        <v>-478</v>
      </c>
      <c r="BL107" s="64"/>
      <c r="BM107" s="64"/>
      <c r="BN107" s="64"/>
      <c r="BO107" s="64">
        <v>-317</v>
      </c>
    </row>
    <row r="108" spans="2:67" ht="13" customHeight="1">
      <c r="B108" s="37" t="s">
        <v>327</v>
      </c>
      <c r="BK108" s="64">
        <v>3393</v>
      </c>
      <c r="BL108" s="64"/>
      <c r="BM108" s="64"/>
      <c r="BN108" s="64"/>
      <c r="BO108" s="64">
        <v>5328</v>
      </c>
    </row>
    <row r="109" spans="2:67" ht="13" customHeight="1">
      <c r="B109" s="37" t="s">
        <v>326</v>
      </c>
      <c r="BK109" s="64">
        <f>SUM(BK105:BK108)</f>
        <v>-20621</v>
      </c>
      <c r="BO109" s="64">
        <f>SUM(BO105:BO108)</f>
        <v>-26382</v>
      </c>
    </row>
    <row r="110" spans="2:67" ht="13" customHeight="1">
      <c r="BO110" s="64"/>
    </row>
    <row r="111" spans="2:67" ht="13" customHeight="1">
      <c r="B111" s="37" t="s">
        <v>331</v>
      </c>
      <c r="BK111" s="64">
        <v>-263</v>
      </c>
      <c r="BO111" s="64">
        <v>44</v>
      </c>
    </row>
    <row r="112" spans="2:67" ht="13" customHeight="1">
      <c r="B112" s="37" t="s">
        <v>332</v>
      </c>
      <c r="BK112" s="64">
        <f>+BK111+BK109+BK103+BK98</f>
        <v>2283</v>
      </c>
      <c r="BO112" s="64">
        <f>+BO111+BO109+BO103+BO98</f>
        <v>-8068</v>
      </c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C26"/>
  <sheetViews>
    <sheetView zoomScale="205" zoomScaleNormal="205" workbookViewId="0"/>
  </sheetViews>
  <sheetFormatPr baseColWidth="10" defaultColWidth="8.83203125" defaultRowHeight="13"/>
  <cols>
    <col min="1" max="1" width="5" bestFit="1" customWidth="1"/>
    <col min="2" max="2" width="11.33203125" bestFit="1" customWidth="1"/>
  </cols>
  <sheetData>
    <row r="1" spans="1:3">
      <c r="A1" s="62" t="s">
        <v>57</v>
      </c>
    </row>
    <row r="2" spans="1:3">
      <c r="B2" s="63" t="s">
        <v>224</v>
      </c>
      <c r="C2" s="63" t="s">
        <v>178</v>
      </c>
    </row>
    <row r="3" spans="1:3">
      <c r="B3" s="63" t="s">
        <v>225</v>
      </c>
      <c r="C3" s="63" t="s">
        <v>226</v>
      </c>
    </row>
    <row r="4" spans="1:3">
      <c r="B4" s="63" t="s">
        <v>238</v>
      </c>
      <c r="C4" s="63" t="s">
        <v>239</v>
      </c>
    </row>
    <row r="5" spans="1:3">
      <c r="C5" s="63" t="s">
        <v>240</v>
      </c>
    </row>
    <row r="6" spans="1:3">
      <c r="C6" s="63" t="s">
        <v>241</v>
      </c>
    </row>
    <row r="7" spans="1:3">
      <c r="C7" s="65" t="s">
        <v>242</v>
      </c>
    </row>
    <row r="8" spans="1:3">
      <c r="C8" s="63" t="s">
        <v>243</v>
      </c>
    </row>
    <row r="9" spans="1:3">
      <c r="C9" s="63" t="s">
        <v>244</v>
      </c>
    </row>
    <row r="10" spans="1:3">
      <c r="C10" s="63" t="s">
        <v>245</v>
      </c>
    </row>
    <row r="11" spans="1:3">
      <c r="C11" s="63" t="s">
        <v>246</v>
      </c>
    </row>
    <row r="12" spans="1:3">
      <c r="C12" s="63" t="s">
        <v>265</v>
      </c>
    </row>
    <row r="13" spans="1:3">
      <c r="C13" s="63" t="s">
        <v>279</v>
      </c>
    </row>
    <row r="14" spans="1:3">
      <c r="B14" s="63" t="s">
        <v>162</v>
      </c>
    </row>
    <row r="15" spans="1:3">
      <c r="C15" s="66" t="s">
        <v>294</v>
      </c>
    </row>
    <row r="16" spans="1:3">
      <c r="C16" s="63" t="s">
        <v>345</v>
      </c>
    </row>
    <row r="17" spans="3:3">
      <c r="C17" s="63" t="s">
        <v>295</v>
      </c>
    </row>
    <row r="19" spans="3:3">
      <c r="C19" s="66" t="s">
        <v>266</v>
      </c>
    </row>
    <row r="22" spans="3:3">
      <c r="C22" s="66" t="s">
        <v>297</v>
      </c>
    </row>
    <row r="23" spans="3:3">
      <c r="C23" s="63" t="s">
        <v>296</v>
      </c>
    </row>
    <row r="25" spans="3:3">
      <c r="C25" s="66" t="s">
        <v>310</v>
      </c>
    </row>
    <row r="26" spans="3:3">
      <c r="C26" s="63" t="s">
        <v>309</v>
      </c>
    </row>
  </sheetData>
  <hyperlinks>
    <hyperlink ref="A1" location="Main!A1" display="Main" xr:uid="{4D74E2C0-CE77-4509-AF4F-7EE8A8441B4B}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C18"/>
  <sheetViews>
    <sheetView zoomScale="265" zoomScaleNormal="265" workbookViewId="0">
      <selection activeCell="C19" sqref="C19"/>
    </sheetView>
  </sheetViews>
  <sheetFormatPr baseColWidth="10" defaultColWidth="9.1640625" defaultRowHeight="13"/>
  <cols>
    <col min="1" max="1" width="5" style="63" bestFit="1" customWidth="1"/>
    <col min="2" max="2" width="12.83203125" style="63" bestFit="1" customWidth="1"/>
    <col min="3" max="16384" width="9.1640625" style="63"/>
  </cols>
  <sheetData>
    <row r="1" spans="1:3">
      <c r="A1" s="62" t="s">
        <v>57</v>
      </c>
    </row>
    <row r="2" spans="1:3">
      <c r="B2" s="63" t="s">
        <v>224</v>
      </c>
      <c r="C2" s="63" t="s">
        <v>236</v>
      </c>
    </row>
    <row r="3" spans="1:3">
      <c r="B3" s="63" t="s">
        <v>225</v>
      </c>
      <c r="C3" s="63" t="s">
        <v>226</v>
      </c>
    </row>
    <row r="4" spans="1:3">
      <c r="B4" s="63" t="s">
        <v>227</v>
      </c>
      <c r="C4" s="63" t="s">
        <v>228</v>
      </c>
    </row>
    <row r="5" spans="1:3">
      <c r="B5" s="63" t="s">
        <v>173</v>
      </c>
      <c r="C5" s="63" t="s">
        <v>229</v>
      </c>
    </row>
    <row r="6" spans="1:3">
      <c r="B6" s="63" t="s">
        <v>1</v>
      </c>
      <c r="C6" s="63" t="s">
        <v>306</v>
      </c>
    </row>
    <row r="7" spans="1:3">
      <c r="B7" s="63" t="s">
        <v>231</v>
      </c>
      <c r="C7" s="63" t="s">
        <v>232</v>
      </c>
    </row>
    <row r="8" spans="1:3">
      <c r="B8" s="63" t="s">
        <v>3</v>
      </c>
      <c r="C8" s="63" t="s">
        <v>233</v>
      </c>
    </row>
    <row r="9" spans="1:3">
      <c r="B9" s="63" t="s">
        <v>238</v>
      </c>
      <c r="C9" s="63" t="s">
        <v>279</v>
      </c>
    </row>
    <row r="10" spans="1:3">
      <c r="B10" s="63" t="s">
        <v>162</v>
      </c>
    </row>
    <row r="11" spans="1:3">
      <c r="C11" s="66" t="s">
        <v>308</v>
      </c>
    </row>
    <row r="12" spans="1:3">
      <c r="C12" s="63" t="s">
        <v>307</v>
      </c>
    </row>
    <row r="15" spans="1:3">
      <c r="C15" s="66" t="s">
        <v>335</v>
      </c>
    </row>
    <row r="18" spans="3:3">
      <c r="C18" s="66" t="s">
        <v>341</v>
      </c>
    </row>
  </sheetData>
  <hyperlinks>
    <hyperlink ref="A1" location="Main!A1" display="Main" xr:uid="{FCD08E1D-6D9D-41B9-8C14-7430FC775682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>
      <selection activeCell="Q19" sqref="Q19"/>
    </sheetView>
  </sheetViews>
  <sheetFormatPr baseColWidth="10" defaultColWidth="9.1640625" defaultRowHeight="13"/>
  <cols>
    <col min="1" max="1" width="5" style="63" bestFit="1" customWidth="1"/>
    <col min="2" max="16384" width="9.1640625" style="63"/>
  </cols>
  <sheetData>
    <row r="1" spans="1:1">
      <c r="A1" s="62" t="s">
        <v>57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baseColWidth="10" defaultColWidth="9.1640625" defaultRowHeight="13"/>
  <cols>
    <col min="1" max="1" width="5" style="1" bestFit="1" customWidth="1"/>
    <col min="2" max="2" width="12.83203125" style="1" bestFit="1" customWidth="1"/>
    <col min="3" max="16384" width="9.1640625" style="1"/>
  </cols>
  <sheetData>
    <row r="1" spans="1:3">
      <c r="A1" s="2" t="s">
        <v>57</v>
      </c>
    </row>
    <row r="2" spans="1:3">
      <c r="B2" s="1" t="s">
        <v>158</v>
      </c>
      <c r="C2" s="1" t="s">
        <v>130</v>
      </c>
    </row>
    <row r="3" spans="1:3">
      <c r="B3" s="1" t="s">
        <v>159</v>
      </c>
      <c r="C3" s="1" t="s">
        <v>160</v>
      </c>
    </row>
    <row r="4" spans="1:3">
      <c r="B4" s="24" t="s">
        <v>161</v>
      </c>
      <c r="C4" s="24" t="s">
        <v>277</v>
      </c>
    </row>
    <row r="5" spans="1:3">
      <c r="B5" s="24" t="s">
        <v>238</v>
      </c>
      <c r="C5" s="24" t="s">
        <v>278</v>
      </c>
    </row>
    <row r="6" spans="1:3">
      <c r="B6" s="1" t="s">
        <v>162</v>
      </c>
    </row>
    <row r="7" spans="1:3">
      <c r="C7" s="4" t="s">
        <v>163</v>
      </c>
    </row>
    <row r="9" spans="1:3">
      <c r="C9" s="4" t="s">
        <v>164</v>
      </c>
    </row>
    <row r="11" spans="1:3">
      <c r="C11" s="4" t="s">
        <v>165</v>
      </c>
    </row>
    <row r="13" spans="1:3">
      <c r="C13" s="4" t="s">
        <v>166</v>
      </c>
    </row>
    <row r="15" spans="1:3">
      <c r="C15" s="4" t="s">
        <v>167</v>
      </c>
    </row>
    <row r="16" spans="1:3">
      <c r="C16" s="1" t="s">
        <v>168</v>
      </c>
    </row>
    <row r="17" spans="3:3">
      <c r="C17" s="1" t="s">
        <v>169</v>
      </c>
    </row>
    <row r="18" spans="3:3">
      <c r="C18" s="1" t="s">
        <v>170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baseColWidth="10" defaultColWidth="9.1640625" defaultRowHeight="13"/>
  <cols>
    <col min="1" max="1" width="5" style="1" bestFit="1" customWidth="1"/>
    <col min="2" max="2" width="12.83203125" style="1" bestFit="1" customWidth="1"/>
    <col min="3" max="16384" width="9.1640625" style="1"/>
  </cols>
  <sheetData>
    <row r="1" spans="1:3">
      <c r="A1" s="2" t="s">
        <v>57</v>
      </c>
    </row>
    <row r="2" spans="1:3">
      <c r="B2" s="1" t="s">
        <v>158</v>
      </c>
      <c r="C2" s="24" t="s">
        <v>171</v>
      </c>
    </row>
    <row r="3" spans="1:3">
      <c r="B3" s="1" t="s">
        <v>159</v>
      </c>
      <c r="C3" s="24" t="s">
        <v>172</v>
      </c>
    </row>
    <row r="4" spans="1:3">
      <c r="B4" s="24" t="s">
        <v>173</v>
      </c>
      <c r="C4" s="24" t="s">
        <v>174</v>
      </c>
    </row>
    <row r="5" spans="1:3">
      <c r="B5" s="1" t="s">
        <v>162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baseColWidth="10" defaultColWidth="9.1640625" defaultRowHeight="13"/>
  <cols>
    <col min="1" max="1" width="5" style="1" bestFit="1" customWidth="1"/>
    <col min="2" max="2" width="12.83203125" style="1" bestFit="1" customWidth="1"/>
    <col min="3" max="16384" width="9.1640625" style="1"/>
  </cols>
  <sheetData>
    <row r="1" spans="1:3">
      <c r="A1" s="2" t="s">
        <v>57</v>
      </c>
    </row>
    <row r="2" spans="1:3">
      <c r="B2" s="1" t="s">
        <v>158</v>
      </c>
      <c r="C2" s="24" t="s">
        <v>175</v>
      </c>
    </row>
    <row r="3" spans="1:3">
      <c r="B3" s="1" t="s">
        <v>159</v>
      </c>
      <c r="C3" s="24" t="s">
        <v>176</v>
      </c>
    </row>
    <row r="4" spans="1:3">
      <c r="B4" s="24" t="s">
        <v>173</v>
      </c>
      <c r="C4" s="24"/>
    </row>
    <row r="5" spans="1:3">
      <c r="B5" s="1" t="s">
        <v>162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9"/>
  <sheetViews>
    <sheetView zoomScale="228" workbookViewId="0"/>
  </sheetViews>
  <sheetFormatPr baseColWidth="10" defaultRowHeight="13"/>
  <cols>
    <col min="1" max="1" width="4.83203125" bestFit="1" customWidth="1"/>
    <col min="2" max="2" width="12" bestFit="1" customWidth="1"/>
  </cols>
  <sheetData>
    <row r="1" spans="1:3">
      <c r="A1" s="62" t="s">
        <v>57</v>
      </c>
    </row>
    <row r="2" spans="1:3">
      <c r="B2" s="63" t="s">
        <v>224</v>
      </c>
      <c r="C2" s="63" t="s">
        <v>334</v>
      </c>
    </row>
    <row r="3" spans="1:3">
      <c r="B3" s="63" t="s">
        <v>225</v>
      </c>
      <c r="C3" s="63" t="s">
        <v>290</v>
      </c>
    </row>
    <row r="4" spans="1:3">
      <c r="B4" s="63" t="s">
        <v>227</v>
      </c>
      <c r="C4" s="63" t="s">
        <v>291</v>
      </c>
    </row>
    <row r="5" spans="1:3">
      <c r="B5" s="63" t="s">
        <v>337</v>
      </c>
      <c r="C5" s="63" t="s">
        <v>338</v>
      </c>
    </row>
    <row r="6" spans="1:3">
      <c r="B6" s="63" t="s">
        <v>342</v>
      </c>
      <c r="C6" s="63" t="s">
        <v>343</v>
      </c>
    </row>
    <row r="7" spans="1:3">
      <c r="B7" s="63" t="s">
        <v>162</v>
      </c>
    </row>
    <row r="8" spans="1:3">
      <c r="C8" s="66" t="s">
        <v>292</v>
      </c>
    </row>
    <row r="9" spans="1:3">
      <c r="C9" s="63" t="s">
        <v>293</v>
      </c>
    </row>
  </sheetData>
  <hyperlinks>
    <hyperlink ref="A1" location="Main!A1" display="Main" xr:uid="{BADD97AC-D9E8-4C4A-A18F-7F4A46DB012F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15</vt:i4>
      </vt:variant>
      <vt:variant>
        <vt:lpstr>Named Ranges</vt:lpstr>
      </vt:variant>
      <vt:variant>
        <vt:i4>1</vt:i4>
      </vt:variant>
    </vt:vector>
  </HeadingPairs>
  <TitlesOfParts>
    <vt:vector size="16" baseType="lpstr">
      <vt:lpstr>Main</vt:lpstr>
      <vt:lpstr>Model</vt:lpstr>
      <vt:lpstr>Ozempic</vt:lpstr>
      <vt:lpstr>Wegovy</vt:lpstr>
      <vt:lpstr>Type 2 Diabetes</vt:lpstr>
      <vt:lpstr>Victoza</vt:lpstr>
      <vt:lpstr>NovoLog</vt:lpstr>
      <vt:lpstr>Levemir</vt:lpstr>
      <vt:lpstr>insulin icodec</vt:lpstr>
      <vt:lpstr>NLRP3</vt:lpstr>
      <vt:lpstr>ziltivekimab</vt:lpstr>
      <vt:lpstr>amycretin</vt:lpstr>
      <vt:lpstr>GLP-1-GIP</vt:lpstr>
      <vt:lpstr>cagrilintide</vt:lpstr>
      <vt:lpstr>CDR132L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Martin Shkreli</cp:lastModifiedBy>
  <cp:revision/>
  <dcterms:created xsi:type="dcterms:W3CDTF">2001-08-02T07:54:36Z</dcterms:created>
  <dcterms:modified xsi:type="dcterms:W3CDTF">2024-07-17T17:17:17Z</dcterms:modified>
  <cp:category/>
  <cp:contentStatus/>
</cp:coreProperties>
</file>